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135" windowWidth="26535" windowHeight="13290" tabRatio="658"/>
  </bookViews>
  <sheets>
    <sheet name="Erläuterungen" sheetId="4" r:id="rId1"/>
    <sheet name="Rohe Rate" sheetId="23" r:id="rId2"/>
    <sheet name="Direkte Standardisierung" sheetId="13" r:id="rId3"/>
    <sheet name="Indirekte Standardisierung" sheetId="9" r:id="rId4"/>
  </sheets>
  <calcPr calcId="145621"/>
</workbook>
</file>

<file path=xl/calcChain.xml><?xml version="1.0" encoding="utf-8"?>
<calcChain xmlns="http://schemas.openxmlformats.org/spreadsheetml/2006/main">
  <c r="E10" i="23" l="1"/>
  <c r="G22" i="9" l="1"/>
  <c r="Q11" i="13"/>
  <c r="R10" i="13" l="1"/>
  <c r="O10" i="13"/>
  <c r="G8" i="9" l="1"/>
  <c r="H8" i="9" s="1"/>
  <c r="F10" i="13" l="1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11" i="13"/>
  <c r="L10" i="13"/>
  <c r="C36" i="13"/>
  <c r="D34" i="13"/>
  <c r="C34" i="13"/>
  <c r="J8" i="13"/>
  <c r="E8" i="13"/>
  <c r="E8" i="23"/>
  <c r="F10" i="23"/>
  <c r="E29" i="23" l="1"/>
  <c r="D29" i="23"/>
  <c r="E36" i="23"/>
  <c r="D36" i="23"/>
  <c r="C36" i="23"/>
  <c r="B36" i="23"/>
  <c r="C29" i="23"/>
  <c r="B29" i="23"/>
  <c r="C24" i="23"/>
  <c r="B24" i="23"/>
  <c r="E11" i="23"/>
  <c r="F11" i="23" s="1"/>
  <c r="E24" i="23" l="1"/>
  <c r="D24" i="23"/>
  <c r="F26" i="9" l="1"/>
  <c r="C29" i="13" l="1"/>
  <c r="D186" i="13" l="1"/>
  <c r="C186" i="13"/>
  <c r="H29" i="13" l="1"/>
  <c r="I14" i="13" s="1"/>
  <c r="Q14" i="13" s="1"/>
  <c r="D29" i="13"/>
  <c r="E29" i="13" s="1"/>
  <c r="C37" i="13" s="1"/>
  <c r="N14" i="13" l="1"/>
  <c r="K14" i="13"/>
  <c r="J14" i="13"/>
  <c r="I27" i="13"/>
  <c r="Q27" i="13" s="1"/>
  <c r="I21" i="13"/>
  <c r="Q21" i="13" s="1"/>
  <c r="I13" i="13"/>
  <c r="Q13" i="13" s="1"/>
  <c r="I20" i="13"/>
  <c r="Q20" i="13" s="1"/>
  <c r="I12" i="13"/>
  <c r="Q12" i="13" s="1"/>
  <c r="I11" i="13"/>
  <c r="I24" i="13"/>
  <c r="Q24" i="13" s="1"/>
  <c r="I17" i="13"/>
  <c r="Q17" i="13" s="1"/>
  <c r="I25" i="13"/>
  <c r="Q25" i="13" s="1"/>
  <c r="I28" i="13"/>
  <c r="Q28" i="13" s="1"/>
  <c r="I23" i="13"/>
  <c r="Q23" i="13" s="1"/>
  <c r="I16" i="13"/>
  <c r="Q16" i="13" s="1"/>
  <c r="I19" i="13"/>
  <c r="Q19" i="13" s="1"/>
  <c r="I15" i="13"/>
  <c r="Q15" i="13" s="1"/>
  <c r="I26" i="13"/>
  <c r="Q26" i="13" s="1"/>
  <c r="I22" i="13"/>
  <c r="Q22" i="13" s="1"/>
  <c r="I18" i="13"/>
  <c r="Q18" i="13" s="1"/>
  <c r="K11" i="13" l="1"/>
  <c r="J11" i="13"/>
  <c r="N11" i="13"/>
  <c r="N26" i="13"/>
  <c r="K26" i="13"/>
  <c r="J26" i="13"/>
  <c r="N23" i="13"/>
  <c r="K23" i="13"/>
  <c r="J23" i="13"/>
  <c r="N24" i="13"/>
  <c r="K24" i="13"/>
  <c r="J24" i="13"/>
  <c r="J13" i="13"/>
  <c r="N13" i="13"/>
  <c r="K13" i="13"/>
  <c r="N15" i="13"/>
  <c r="K15" i="13"/>
  <c r="J15" i="13"/>
  <c r="N28" i="13"/>
  <c r="K28" i="13"/>
  <c r="J28" i="13"/>
  <c r="J21" i="13"/>
  <c r="N21" i="13"/>
  <c r="K21" i="13"/>
  <c r="N18" i="13"/>
  <c r="K18" i="13"/>
  <c r="J18" i="13"/>
  <c r="N19" i="13"/>
  <c r="K19" i="13"/>
  <c r="J19" i="13"/>
  <c r="J25" i="13"/>
  <c r="N25" i="13"/>
  <c r="K25" i="13"/>
  <c r="N12" i="13"/>
  <c r="K12" i="13"/>
  <c r="J12" i="13"/>
  <c r="N27" i="13"/>
  <c r="K27" i="13"/>
  <c r="J27" i="13"/>
  <c r="N22" i="13"/>
  <c r="K22" i="13"/>
  <c r="J22" i="13"/>
  <c r="N16" i="13"/>
  <c r="K16" i="13"/>
  <c r="J16" i="13"/>
  <c r="J17" i="13"/>
  <c r="N17" i="13"/>
  <c r="K17" i="13"/>
  <c r="N20" i="13"/>
  <c r="K20" i="13"/>
  <c r="J20" i="13"/>
  <c r="I29" i="13"/>
  <c r="E26" i="9"/>
  <c r="D26" i="9"/>
  <c r="C26" i="9"/>
  <c r="B32" i="9" s="1"/>
  <c r="G25" i="9"/>
  <c r="H25" i="9" s="1"/>
  <c r="G24" i="9"/>
  <c r="H24" i="9" s="1"/>
  <c r="G23" i="9"/>
  <c r="H23" i="9" s="1"/>
  <c r="H22" i="9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K29" i="13" l="1"/>
  <c r="N29" i="13"/>
  <c r="J29" i="13"/>
  <c r="D37" i="13" s="1"/>
  <c r="H26" i="9"/>
  <c r="C32" i="9" l="1"/>
  <c r="B60" i="13"/>
  <c r="B67" i="13"/>
  <c r="C60" i="13"/>
  <c r="C67" i="13"/>
  <c r="C51" i="13"/>
  <c r="B51" i="13"/>
  <c r="D60" i="13"/>
  <c r="E60" i="13"/>
  <c r="C38" i="9" l="1"/>
  <c r="D38" i="9"/>
  <c r="F38" i="9"/>
  <c r="D32" i="9"/>
  <c r="E38" i="9"/>
</calcChain>
</file>

<file path=xl/sharedStrings.xml><?xml version="1.0" encoding="utf-8"?>
<sst xmlns="http://schemas.openxmlformats.org/spreadsheetml/2006/main" count="330" uniqueCount="212">
  <si>
    <t>untere Grenze</t>
  </si>
  <si>
    <t>obere Grenze</t>
  </si>
  <si>
    <t>E</t>
  </si>
  <si>
    <t>Altersklassen</t>
  </si>
  <si>
    <t>0 bis unter 5</t>
  </si>
  <si>
    <t>5 bis unter 10</t>
  </si>
  <si>
    <t>10 bis unter 15</t>
  </si>
  <si>
    <t>15 bis unter 20</t>
  </si>
  <si>
    <t>20 bis unter 25</t>
  </si>
  <si>
    <t>25 bis unter 30</t>
  </si>
  <si>
    <t>30 bis unter 35</t>
  </si>
  <si>
    <t>35 bis unter 40</t>
  </si>
  <si>
    <t>40 bis unter 45</t>
  </si>
  <si>
    <t>45 bis unter 50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</si>
  <si>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</si>
  <si>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</si>
  <si>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</si>
  <si>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</si>
  <si>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</si>
  <si>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</si>
  <si>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</si>
  <si>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und älter</t>
  </si>
  <si>
    <t xml:space="preserve">Indirekte Standardisierung: standardisierte Inzidenzratio (SIR) / standardisierte Mortalitätsratio (SMR) </t>
  </si>
  <si>
    <r>
      <t xml:space="preserve">durchschnittliche Bevölkerung des untersuchten Gebiets
</t>
    </r>
    <r>
      <rPr>
        <b/>
        <i/>
        <sz val="10"/>
        <color indexed="8"/>
        <rFont val="Arial"/>
        <family val="2"/>
      </rPr>
      <t/>
    </r>
  </si>
  <si>
    <t>Fallzahlen des Referenzgebiets</t>
  </si>
  <si>
    <t>durchschnittliche Bevölkerung des Referenzgebiets</t>
  </si>
  <si>
    <t>altersspezifische Raten der Referenzpopulation 
(pro 100.000)</t>
  </si>
  <si>
    <r>
      <t>E</t>
    </r>
    <r>
      <rPr>
        <i/>
        <vertAlign val="subscript"/>
        <sz val="10"/>
        <color indexed="8"/>
        <rFont val="Arial"/>
        <family val="2"/>
      </rPr>
      <t>i</t>
    </r>
  </si>
  <si>
    <r>
      <t>N</t>
    </r>
    <r>
      <rPr>
        <i/>
        <vertAlign val="subscript"/>
        <sz val="10"/>
        <color indexed="8"/>
        <rFont val="Arial"/>
        <family val="2"/>
      </rPr>
      <t>i</t>
    </r>
  </si>
  <si>
    <r>
      <t>R</t>
    </r>
    <r>
      <rPr>
        <i/>
        <vertAlign val="subscript"/>
        <sz val="10"/>
        <color indexed="8"/>
        <rFont val="Arial"/>
        <family val="2"/>
      </rPr>
      <t>i</t>
    </r>
  </si>
  <si>
    <r>
      <rPr>
        <i/>
        <sz val="10"/>
        <color indexed="8"/>
        <rFont val="Arial"/>
        <family val="2"/>
      </rPr>
      <t>E</t>
    </r>
    <r>
      <rPr>
        <i/>
        <vertAlign val="subscript"/>
        <sz val="10"/>
        <color indexed="8"/>
        <rFont val="Arial"/>
        <family val="2"/>
      </rPr>
      <t>i</t>
    </r>
    <r>
      <rPr>
        <sz val="10"/>
        <color indexed="8"/>
        <rFont val="Arial"/>
        <family val="2"/>
      </rPr>
      <t xml:space="preserve">* = </t>
    </r>
    <r>
      <rPr>
        <i/>
        <sz val="10"/>
        <color indexed="8"/>
        <rFont val="Arial"/>
        <family val="2"/>
      </rPr>
      <t>N</t>
    </r>
    <r>
      <rPr>
        <i/>
        <vertAlign val="subscript"/>
        <sz val="10"/>
        <color indexed="8"/>
        <rFont val="Arial"/>
        <family val="2"/>
      </rPr>
      <t>i</t>
    </r>
    <r>
      <rPr>
        <sz val="10"/>
        <color indexed="8"/>
        <rFont val="Arial"/>
        <family val="2"/>
      </rPr>
      <t xml:space="preserve"> · </t>
    </r>
    <r>
      <rPr>
        <i/>
        <sz val="10"/>
        <color indexed="8"/>
        <rFont val="Arial"/>
        <family val="2"/>
      </rPr>
      <t>R</t>
    </r>
    <r>
      <rPr>
        <i/>
        <vertAlign val="subscript"/>
        <sz val="10"/>
        <color indexed="8"/>
        <rFont val="Arial"/>
        <family val="2"/>
      </rPr>
      <t xml:space="preserve">i </t>
    </r>
    <r>
      <rPr>
        <i/>
        <sz val="10"/>
        <color indexed="8"/>
        <rFont val="Arial"/>
        <family val="2"/>
      </rPr>
      <t>/</t>
    </r>
    <r>
      <rPr>
        <sz val="10"/>
        <color indexed="8"/>
        <rFont val="Arial"/>
        <family val="2"/>
      </rPr>
      <t xml:space="preserve"> 100.000</t>
    </r>
  </si>
  <si>
    <t>Gesamt</t>
  </si>
  <si>
    <t>Indirekt standardisierte Ratio</t>
  </si>
  <si>
    <t>beobachtete Ereignisse</t>
  </si>
  <si>
    <t>erwartete Ereignisse</t>
  </si>
  <si>
    <t>SIR /SMR</t>
  </si>
  <si>
    <r>
      <rPr>
        <i/>
        <sz val="10"/>
        <color indexed="8"/>
        <rFont val="Arial"/>
        <family val="2"/>
      </rPr>
      <t>E</t>
    </r>
    <r>
      <rPr>
        <sz val="10"/>
        <color indexed="8"/>
        <rFont val="Arial"/>
        <family val="2"/>
      </rPr>
      <t>*</t>
    </r>
  </si>
  <si>
    <r>
      <rPr>
        <i/>
        <sz val="10"/>
        <rFont val="Arial"/>
        <family val="2"/>
      </rPr>
      <t>E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E</t>
    </r>
    <r>
      <rPr>
        <sz val="10"/>
        <rFont val="Arial"/>
        <family val="2"/>
      </rPr>
      <t>*</t>
    </r>
  </si>
  <si>
    <t>Konfidenzniveau</t>
  </si>
  <si>
    <t>exaktes Konfidenzintervall</t>
  </si>
  <si>
    <t>approximiertes Konfidenzintervall nach Byar</t>
  </si>
  <si>
    <t>100(1-α)%</t>
  </si>
  <si>
    <t>Karla Geiss</t>
  </si>
  <si>
    <t>Bevölkerungsbezogenes Krebsregister Bayern</t>
  </si>
  <si>
    <t>Diese Datei wurde am Bevölkerungsbezogenen Krebsregister Bayern erstellt und enthält Formeln für die</t>
  </si>
  <si>
    <t>Direkte Standardisierung: Altersstandardisierte Inzidenz- bzw. Mortalitätsrate</t>
  </si>
  <si>
    <r>
      <t>w</t>
    </r>
    <r>
      <rPr>
        <i/>
        <vertAlign val="subscript"/>
        <sz val="10"/>
        <color indexed="8"/>
        <rFont val="Arial"/>
        <family val="2"/>
      </rPr>
      <t>i</t>
    </r>
  </si>
  <si>
    <t>Direkt standardisierte Rate</t>
  </si>
  <si>
    <t>altersstandardisierte Rate</t>
  </si>
  <si>
    <t>Binomial-Konfidenzintervall</t>
  </si>
  <si>
    <t>Poisson-Konfidenzintervall</t>
  </si>
  <si>
    <t xml:space="preserve">Konfidenzintervall </t>
  </si>
  <si>
    <t>(Annahme: Poissonverteilung)</t>
  </si>
  <si>
    <r>
      <t>w</t>
    </r>
    <r>
      <rPr>
        <i/>
        <vertAlign val="subscript"/>
        <sz val="10"/>
        <color indexed="8"/>
        <rFont val="Arial"/>
        <family val="2"/>
      </rPr>
      <t>i</t>
    </r>
    <r>
      <rPr>
        <i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·</t>
    </r>
    <r>
      <rPr>
        <i/>
        <sz val="10"/>
        <color indexed="8"/>
        <rFont val="Arial"/>
        <family val="2"/>
      </rPr>
      <t xml:space="preserve"> R</t>
    </r>
    <r>
      <rPr>
        <i/>
        <vertAlign val="subscript"/>
        <sz val="10"/>
        <color indexed="8"/>
        <rFont val="Arial"/>
        <family val="2"/>
      </rPr>
      <t>i</t>
    </r>
  </si>
  <si>
    <t>Rohe Rate</t>
  </si>
  <si>
    <t>N</t>
  </si>
  <si>
    <t>Clopper-Pearson-Konfidenzintervall</t>
  </si>
  <si>
    <t>Approximation durch Normalverteilung</t>
  </si>
  <si>
    <t xml:space="preserve">Verwendung des exakten Konfidenzintervalls für die </t>
  </si>
  <si>
    <t>Anzahl der beobachteten Ereignisse</t>
  </si>
  <si>
    <t>Spalte G eingeben. Dann werden diese nicht mehr automatisch aus den Spalten E und F berechnet.</t>
  </si>
  <si>
    <t>Berechnung des Konfidenzintervalls</t>
  </si>
  <si>
    <t>Liegen die Gesamtzahlen der beobachteten und erwarteten Ereignisse vor, kann man diese in die</t>
  </si>
  <si>
    <t>Das Konfidenzintervall wird näherungsweise berechnet, indem zunächst die Grenzen des</t>
  </si>
  <si>
    <r>
      <t xml:space="preserve">Konfidenzintervalls der beobachteten Ereignisse </t>
    </r>
    <r>
      <rPr>
        <i/>
        <sz val="10"/>
        <rFont val="Arial"/>
        <family val="2"/>
      </rPr>
      <t>E</t>
    </r>
    <r>
      <rPr>
        <sz val="10"/>
        <rFont val="Arial"/>
        <family val="2"/>
      </rPr>
      <t xml:space="preserve"> berechnet werden und dann durch die Anzahl</t>
    </r>
  </si>
  <si>
    <r>
      <t xml:space="preserve">Falls für das Referenzgebiet die altersspezifischen Raten </t>
    </r>
    <r>
      <rPr>
        <i/>
        <sz val="10"/>
        <rFont val="Arial"/>
        <family val="2"/>
      </rPr>
      <t>R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vorliegen, kann man diese direkt in</t>
    </r>
  </si>
  <si>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u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0, wenn </t>
    </r>
    <r>
      <rPr>
        <i/>
        <sz val="10"/>
        <rFont val="Arial"/>
        <family val="2"/>
      </rPr>
      <t xml:space="preserve">E </t>
    </r>
    <r>
      <rPr>
        <sz val="10"/>
        <rFont val="Arial"/>
        <family val="2"/>
      </rPr>
      <t>= 0.</t>
    </r>
  </si>
  <si>
    <t>[1] Breslow NE, Day NE. Statistical Methods in Cancer Research, vol. II: The Design and Analysis of Cohort Studies,</t>
  </si>
  <si>
    <t>mit Hilfe zweier Methoden berechnet [1, 2]:</t>
  </si>
  <si>
    <t xml:space="preserve"> - exaktes Konfidenzintervall</t>
  </si>
  <si>
    <t xml:space="preserve"> - Approximation nach Byar</t>
  </si>
  <si>
    <t>Für die Dateneingabe durch den Benutzer sind die Tabellenspalten mit weißem Hintergrund vorgesehen.</t>
  </si>
  <si>
    <t>In der Spalte B sind Altersklassen angegeben, wie sie üblicherweise in Krebsregistern verwendet werden.</t>
  </si>
  <si>
    <t>Für die Standardisierung können jedoch auch andere Bevölkerungsuntergruppen verwendet werden.</t>
  </si>
  <si>
    <t>Literatur</t>
  </si>
  <si>
    <t xml:space="preserve">      IARC Scientific Publications No. 82, International Agency for Research on Cancer, Lyon, 1987.</t>
  </si>
  <si>
    <r>
      <t>Das Konfidenzintervall [</t>
    </r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u</t>
    </r>
    <r>
      <rPr>
        <sz val="10"/>
        <rFont val="Arial"/>
        <family val="2"/>
      </rPr>
      <t>,</t>
    </r>
    <r>
      <rPr>
        <i/>
        <sz val="10"/>
        <rFont val="Arial"/>
        <family val="2"/>
      </rPr>
      <t xml:space="preserve"> E</t>
    </r>
    <r>
      <rPr>
        <i/>
        <vertAlign val="subscript"/>
        <sz val="10"/>
        <rFont val="Arial"/>
        <family val="2"/>
      </rPr>
      <t>o</t>
    </r>
    <r>
      <rPr>
        <sz val="10"/>
        <rFont val="Arial"/>
        <family val="2"/>
      </rPr>
      <t xml:space="preserve">] für die beobachteten Ereignisse </t>
    </r>
    <r>
      <rPr>
        <i/>
        <sz val="10"/>
        <rFont val="Arial"/>
        <family val="2"/>
      </rPr>
      <t>E</t>
    </r>
    <r>
      <rPr>
        <sz val="10"/>
        <rFont val="Arial"/>
        <family val="2"/>
      </rPr>
      <t xml:space="preserve"> wird unter Annahme einer Poissonverteilung</t>
    </r>
  </si>
  <si>
    <t>Dateneingabe</t>
  </si>
  <si>
    <t>Gebräuchliche Standardbevölkerungen</t>
  </si>
  <si>
    <t>Standardfehler der standardisierten Rate:</t>
  </si>
  <si>
    <r>
      <rPr>
        <i/>
        <sz val="10"/>
        <color theme="1"/>
        <rFont val="Arial"/>
        <family val="2"/>
      </rPr>
      <t>R</t>
    </r>
    <r>
      <rPr>
        <i/>
        <vertAlign val="subscript"/>
        <sz val="10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 = altersspezifische Rate der Altersklasse </t>
    </r>
    <r>
      <rPr>
        <i/>
        <sz val="10"/>
        <color theme="1"/>
        <rFont val="Arial"/>
        <family val="2"/>
      </rPr>
      <t>i</t>
    </r>
  </si>
  <si>
    <r>
      <rPr>
        <i/>
        <sz val="10"/>
        <color theme="1"/>
        <rFont val="Arial"/>
        <family val="2"/>
      </rPr>
      <t>N</t>
    </r>
    <r>
      <rPr>
        <i/>
        <vertAlign val="subscript"/>
        <sz val="10"/>
        <color theme="1"/>
        <rFont val="Arial"/>
        <family val="2"/>
      </rPr>
      <t>i</t>
    </r>
    <r>
      <rPr>
        <vertAlign val="sub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= durchschnittliche Bevölkerung in der Altersklasse</t>
    </r>
    <r>
      <rPr>
        <i/>
        <sz val="10"/>
        <color theme="1"/>
        <rFont val="Arial"/>
        <family val="2"/>
      </rPr>
      <t xml:space="preserve"> i</t>
    </r>
  </si>
  <si>
    <r>
      <t>Z</t>
    </r>
    <r>
      <rPr>
        <vertAlign val="subscript"/>
        <sz val="10"/>
        <color theme="1"/>
        <rFont val="Arial"/>
        <family val="2"/>
      </rPr>
      <t>1-α/2</t>
    </r>
    <r>
      <rPr>
        <sz val="10"/>
        <color theme="1"/>
        <rFont val="Arial"/>
        <family val="2"/>
      </rPr>
      <t xml:space="preserve"> ist das 100(1–α/2)-Perzentil der Standardnormalverteilung. Zum Beispiel sind für ein 95%-Konfidenzintervall</t>
    </r>
  </si>
  <si>
    <t>mit</t>
  </si>
  <si>
    <r>
      <rPr>
        <i/>
        <sz val="10"/>
        <rFont val="Arial"/>
        <family val="2"/>
      </rPr>
      <t>w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= relativer Anteil der Personen in der Altersklasse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 xml:space="preserve"> der Standardbevölkerung an allen Personen der Standardbevölkerung</t>
    </r>
  </si>
  <si>
    <r>
      <rPr>
        <i/>
        <sz val="10"/>
        <rFont val="Arial"/>
        <family val="2"/>
      </rPr>
      <t>R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= altersspezifische Inzidenzrate der Altersklasse </t>
    </r>
    <r>
      <rPr>
        <i/>
        <sz val="10"/>
        <rFont val="Arial"/>
        <family val="2"/>
      </rPr>
      <t>i</t>
    </r>
  </si>
  <si>
    <r>
      <rPr>
        <i/>
        <sz val="10"/>
        <rFont val="Arial"/>
        <family val="2"/>
      </rPr>
      <t>N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= durchschnittliche Bevölkerung in der Altersklasse </t>
    </r>
    <r>
      <rPr>
        <i/>
        <sz val="10"/>
        <rFont val="Arial"/>
        <family val="2"/>
      </rPr>
      <t>i</t>
    </r>
  </si>
  <si>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o</t>
    </r>
    <r>
      <rPr>
        <sz val="10"/>
        <rFont val="Arial"/>
        <family val="2"/>
      </rPr>
      <t xml:space="preserve"> = die Grenzen des Konfidenzintervalls für die Anzahl der beobachteten Ereignisse</t>
    </r>
  </si>
  <si>
    <r>
      <rPr>
        <i/>
        <sz val="10"/>
        <rFont val="Arial"/>
        <family val="2"/>
      </rPr>
      <t>E</t>
    </r>
    <r>
      <rPr>
        <sz val="10"/>
        <rFont val="Arial"/>
        <family val="2"/>
      </rPr>
      <t xml:space="preserve"> = Gesamtzahl der beobachteten Ereignisse</t>
    </r>
  </si>
  <si>
    <r>
      <t>Das Konfidenzintervall [</t>
    </r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u</t>
    </r>
    <r>
      <rPr>
        <sz val="10"/>
        <rFont val="Arial"/>
        <family val="2"/>
      </rPr>
      <t>,</t>
    </r>
    <r>
      <rPr>
        <i/>
        <sz val="10"/>
        <rFont val="Arial"/>
        <family val="2"/>
      </rPr>
      <t xml:space="preserve"> E</t>
    </r>
    <r>
      <rPr>
        <i/>
        <vertAlign val="subscript"/>
        <sz val="10"/>
        <rFont val="Arial"/>
        <family val="2"/>
      </rPr>
      <t>o</t>
    </r>
    <r>
      <rPr>
        <sz val="10"/>
        <rFont val="Arial"/>
        <family val="2"/>
      </rPr>
      <t xml:space="preserve">] für die beobachteten Ereignisse </t>
    </r>
    <r>
      <rPr>
        <i/>
        <sz val="10"/>
        <rFont val="Arial"/>
        <family val="2"/>
      </rPr>
      <t>E</t>
    </r>
    <r>
      <rPr>
        <sz val="10"/>
        <rFont val="Arial"/>
        <family val="2"/>
      </rPr>
      <t xml:space="preserve"> kann unter Annahme einer Poissonverteilung</t>
    </r>
  </si>
  <si>
    <t>mit Hilfe zweier Methoden berechnet werden [2, 3]:</t>
  </si>
  <si>
    <t>[2] Breslow NE, Day NE. Statistical Methods in Cancer Research, vol. II: The Design and Analysis of Cohort Studies,</t>
  </si>
  <si>
    <t>[1] Dobson AJ, Kuulasmaa K, Eberle E, Scherer J. Confidence intervals for weighted sums of Poisson parameters. Stat Med. 1991;10(3):457-62.</t>
  </si>
  <si>
    <t>Bei großen Fallzahlen (&gt; 50) ist eine Approximation durch die Normalverteilung möglich:</t>
  </si>
  <si>
    <t>rohe Rate</t>
  </si>
  <si>
    <t>Varianz der direkt standardisierten Rate:</t>
  </si>
  <si>
    <r>
      <rPr>
        <i/>
        <sz val="10"/>
        <color theme="1"/>
        <rFont val="Arial"/>
        <family val="2"/>
      </rPr>
      <t>w</t>
    </r>
    <r>
      <rPr>
        <i/>
        <vertAlign val="subscript"/>
        <sz val="10"/>
        <color theme="1"/>
        <rFont val="Arial"/>
        <family val="2"/>
      </rPr>
      <t>i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= relativer Anteil der Personen in der Altersklasse </t>
    </r>
    <r>
      <rPr>
        <i/>
        <sz val="10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 der Standardbevölkerung an allen Personen der Standardbevölkerung</t>
    </r>
  </si>
  <si>
    <t>beobachtete Ereignisse im untersuchten Gebiet</t>
  </si>
  <si>
    <t>Berechnung von epidemiologischen Maßzahlen und deren Konfidenzintervalle, wie sie üblicherweise für</t>
  </si>
  <si>
    <t>Inzidenz und Mortalität in Krebsregistern verwendet werden.</t>
  </si>
  <si>
    <t>Für die Dateneingabe durch den Benutzer sind die Tabellenzellen mit weißem Hintergrund vorgesehen.</t>
  </si>
  <si>
    <t>Das Konfidenzintervall der direkt standardisierten Rate wird in obigem Beispiel unter Annahme einer</t>
  </si>
  <si>
    <t xml:space="preserve"> - Standard-Konfidenzintervall</t>
  </si>
  <si>
    <t>Es gibt verschiedene Methoden zur Schätzung des Binomial-Konfidenzintervalls. In mehreren Arbeiten</t>
  </si>
  <si>
    <t>wurden verschiedene Binomial-Konfidenzintervalle vorgestellt und deren statistischen Eigenschaften</t>
  </si>
  <si>
    <t>verglichen [1, 2+Kommentare, 3-5].</t>
  </si>
  <si>
    <t>mit Hilfe zweier Methoden berechnet werden [6, 7]:</t>
  </si>
  <si>
    <t>http://www.krebsregister-bayern.de</t>
  </si>
  <si>
    <t>Im obigen Beispiel wird das Binomial-Konfidenzintervall nach folgenden Methoden berechnet:</t>
  </si>
  <si>
    <t xml:space="preserve"> - Clopper-Pearson-Konfidenzintervall ("exaktes" Binomial-Konfidenzintervall)</t>
  </si>
  <si>
    <t>Unter Ausnutzung der Beziehung zwischen Binomial- und Betaverteilung lässt sich das Clopper-Pearson-Intervall</t>
  </si>
  <si>
    <r>
      <t xml:space="preserve">                     ist das 100</t>
    </r>
    <r>
      <rPr>
        <i/>
        <sz val="10"/>
        <rFont val="Arial"/>
        <family val="2"/>
      </rPr>
      <t>a</t>
    </r>
    <r>
      <rPr>
        <sz val="10"/>
        <rFont val="Arial"/>
        <family val="2"/>
      </rPr>
      <t xml:space="preserve">-Perzentil der Betaverteilung mit den Parametern </t>
    </r>
    <r>
      <rPr>
        <i/>
        <sz val="10"/>
        <rFont val="Arial"/>
        <family val="2"/>
      </rPr>
      <t>p</t>
    </r>
    <r>
      <rPr>
        <sz val="10"/>
        <rFont val="Arial"/>
        <family val="2"/>
      </rPr>
      <t xml:space="preserve"> und </t>
    </r>
    <r>
      <rPr>
        <i/>
        <sz val="10"/>
        <rFont val="Arial"/>
        <family val="2"/>
      </rPr>
      <t>q</t>
    </r>
    <r>
      <rPr>
        <sz val="10"/>
        <rFont val="Arial"/>
        <family val="2"/>
      </rPr>
      <t>.</t>
    </r>
  </si>
  <si>
    <t>Wilson-Konfidenzintervall</t>
  </si>
  <si>
    <t>("exaktes" Binomial-Konfidenzintervall)</t>
  </si>
  <si>
    <t>Standard-Konfidenzintervall</t>
  </si>
  <si>
    <t>(Approx. durch Normalverteilung)</t>
  </si>
  <si>
    <t>Agresti-Coull-Konfidenzintervall</t>
  </si>
  <si>
    <t>Binomialverteilung bzw. einer Poissonverteilung nach mehreren alternativen Methoden berechnet.</t>
  </si>
  <si>
    <t xml:space="preserve"> - Wilson-Konfidenzintervall</t>
  </si>
  <si>
    <t>Bezeichnet man mit                 den Schätzer für die Eintrittswahrscheinlichkeit des Ereignisses in der untersuchten</t>
  </si>
  <si>
    <t>Für das Agresti-Coull-Intervall setzt man</t>
  </si>
  <si>
    <t xml:space="preserve"> - Agresti-Coull-Konfidenzintervall</t>
  </si>
  <si>
    <t>im unersuchten Gebiet</t>
  </si>
  <si>
    <t>Bevölkerung des</t>
  </si>
  <si>
    <t>untersuchten Gebiets</t>
  </si>
  <si>
    <t>üblicherweise 100.000)</t>
  </si>
  <si>
    <t>Multiplikationsfaktor</t>
  </si>
  <si>
    <t>Varianz</t>
  </si>
  <si>
    <t>der rohen Rate</t>
  </si>
  <si>
    <r>
      <t>durchschnittliche</t>
    </r>
    <r>
      <rPr>
        <b/>
        <i/>
        <sz val="10"/>
        <color indexed="8"/>
        <rFont val="Arial"/>
        <family val="2"/>
      </rPr>
      <t/>
    </r>
  </si>
  <si>
    <t>rohe Rate des</t>
  </si>
  <si>
    <t>[1] Newcombe RG. Two-sided confidence intervals for the single proportion: comparison of seven methods. Stat Med. 1998; 17(8):857-72.</t>
  </si>
  <si>
    <t>[2] Brown LD, Cai TT, DasGupta A. Interval estimation for a binomial proportion. Statistical Science 2001; 16:101–133.</t>
  </si>
  <si>
    <t>[3] Ross TD. Accurate confidence intervals for binomial proportion and Poisson rate estimation. Comput Biol Med. 2003; 3(6):509-31.</t>
  </si>
  <si>
    <t>[4] Reiczigel J. Confidence intervals for the binomial parameter: some new considerations. Stat Med. 2003;22(4):611-21.</t>
  </si>
  <si>
    <t>[5] Wallis SA. Binomial confidence intervals and contingency tests: mathematical fundamentals and the evaluation of alternative methods. Journal of Quantitative Linguistics 2013; 20:3, 178-208.</t>
  </si>
  <si>
    <t>[6] Breslow NE, Day NE. Statistical Methods in Cancer Research, vol. II: The Design and Analysis of Cohort Studies,</t>
  </si>
  <si>
    <t>Der Standardfehler der rohen Rate (pro 100.000) ist:</t>
  </si>
  <si>
    <t>für die rohe Rate (pro 100.000) mit folgender Formel berechnen:</t>
  </si>
  <si>
    <t>Bevölkerung, erhält man das Wilson-Konfidenzintervall für die rohe Rate (pro 100.000) mit folgender Formel:</t>
  </si>
  <si>
    <t>und erhält ein Konfidenzintervall für die rohe Rate (pro 100.000), indem man diese Parameter in das weiter oben</t>
  </si>
  <si>
    <t>beschriebene Standard-Konfidenzintervall einsetzt:</t>
  </si>
  <si>
    <r>
      <t>Das Konfidenzintervall der rohen Rate (pro 100.000) lässt sich ausgehend vom Konfidenzintervall [</t>
    </r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, </t>
    </r>
    <r>
      <rPr>
        <i/>
        <sz val="10"/>
        <rFont val="Arial"/>
        <family val="2"/>
      </rPr>
      <t>E</t>
    </r>
    <r>
      <rPr>
        <i/>
        <vertAlign val="subscript"/>
        <sz val="10"/>
        <rFont val="Arial"/>
        <family val="2"/>
      </rPr>
      <t>o</t>
    </r>
    <r>
      <rPr>
        <sz val="10"/>
        <rFont val="Arial"/>
        <family val="2"/>
      </rPr>
      <t>] für die</t>
    </r>
  </si>
  <si>
    <t>(Größe der Bevölkerung,</t>
  </si>
  <si>
    <t>Verwendung des approximierten Konfidenzintervalls nach</t>
  </si>
  <si>
    <t>Byar für die Anzahl der beobachteten Ereignisse</t>
  </si>
  <si>
    <r>
      <t>R</t>
    </r>
    <r>
      <rPr>
        <i/>
        <vertAlign val="subscript"/>
        <sz val="10"/>
        <color indexed="8"/>
        <rFont val="Arial"/>
        <family val="2"/>
      </rPr>
      <t>std</t>
    </r>
    <r>
      <rPr>
        <i/>
        <sz val="10"/>
        <color indexed="8"/>
        <rFont val="Arial"/>
        <family val="2"/>
      </rPr>
      <t xml:space="preserve"> = </t>
    </r>
    <r>
      <rPr>
        <sz val="16"/>
        <color indexed="8"/>
        <rFont val="Calibri"/>
        <family val="2"/>
      </rPr>
      <t>Σ</t>
    </r>
    <r>
      <rPr>
        <i/>
        <vertAlign val="subscript"/>
        <sz val="10"/>
        <color indexed="8"/>
        <rFont val="Arial"/>
        <family val="2"/>
      </rPr>
      <t xml:space="preserve">i </t>
    </r>
    <r>
      <rPr>
        <i/>
        <sz val="10"/>
        <color indexed="8"/>
        <rFont val="Arial"/>
        <family val="2"/>
      </rPr>
      <t>w</t>
    </r>
    <r>
      <rPr>
        <i/>
        <vertAlign val="subscript"/>
        <sz val="10"/>
        <color indexed="8"/>
        <rFont val="Arial"/>
        <family val="2"/>
      </rPr>
      <t>i</t>
    </r>
    <r>
      <rPr>
        <i/>
        <sz val="10"/>
        <color indexed="8"/>
        <rFont val="Arial"/>
        <family val="2"/>
      </rPr>
      <t>R</t>
    </r>
    <r>
      <rPr>
        <i/>
        <vertAlign val="subscript"/>
        <sz val="10"/>
        <color indexed="8"/>
        <rFont val="Arial"/>
        <family val="2"/>
      </rPr>
      <t>i</t>
    </r>
  </si>
  <si>
    <t>des untersuchten Gebiets</t>
  </si>
  <si>
    <t>(Standardbevölkerung)</t>
  </si>
  <si>
    <t>Referenzbevölkerung</t>
  </si>
  <si>
    <t>altersspezifische Raten</t>
  </si>
  <si>
    <t>Varianzen der</t>
  </si>
  <si>
    <t>altersspezifischen Raten</t>
  </si>
  <si>
    <r>
      <t>durchschnittliche Bevölkerung</t>
    </r>
    <r>
      <rPr>
        <b/>
        <i/>
        <sz val="10"/>
        <color indexed="8"/>
        <rFont val="Arial"/>
        <family val="2"/>
      </rPr>
      <t/>
    </r>
  </si>
  <si>
    <t>altersspezifische Raten des</t>
  </si>
  <si>
    <t>Anteil der Personen in</t>
  </si>
  <si>
    <r>
      <t xml:space="preserve">der Altersklasse </t>
    </r>
    <r>
      <rPr>
        <b/>
        <i/>
        <sz val="10"/>
        <color indexed="8"/>
        <rFont val="Arial"/>
        <family val="2"/>
      </rPr>
      <t>i</t>
    </r>
    <r>
      <rPr>
        <b/>
        <sz val="10"/>
        <color indexed="8"/>
        <rFont val="Arial"/>
        <family val="2"/>
      </rPr>
      <t xml:space="preserve"> der</t>
    </r>
  </si>
  <si>
    <t>gewichtete</t>
  </si>
  <si>
    <t>gewichtete Binomial-</t>
  </si>
  <si>
    <t>gewichtete Poisson-</t>
  </si>
  <si>
    <r>
      <t>- R</t>
    </r>
    <r>
      <rPr>
        <i/>
        <vertAlign val="subscript"/>
        <sz val="10"/>
        <color indexed="8"/>
        <rFont val="Arial"/>
        <family val="2"/>
      </rPr>
      <t>i</t>
    </r>
    <r>
      <rPr>
        <sz val="10"/>
        <color indexed="8"/>
        <rFont val="Arial"/>
        <family val="2"/>
      </rPr>
      <t>)</t>
    </r>
    <r>
      <rPr>
        <i/>
        <sz val="10"/>
        <color indexed="8"/>
        <rFont val="Arial"/>
        <family val="2"/>
      </rPr>
      <t xml:space="preserve"> / N</t>
    </r>
    <r>
      <rPr>
        <i/>
        <vertAlign val="subscript"/>
        <sz val="10"/>
        <color indexed="8"/>
        <rFont val="Arial"/>
        <family val="2"/>
      </rPr>
      <t>i</t>
    </r>
  </si>
  <si>
    <r>
      <t>w</t>
    </r>
    <r>
      <rPr>
        <i/>
        <vertAlign val="subscript"/>
        <sz val="10"/>
        <color indexed="8"/>
        <rFont val="Arial"/>
        <family val="2"/>
      </rPr>
      <t>i</t>
    </r>
    <r>
      <rPr>
        <i/>
        <vertAlign val="superscript"/>
        <sz val="10"/>
        <color indexed="8"/>
        <rFont val="Arial"/>
        <family val="2"/>
      </rPr>
      <t>2</t>
    </r>
    <r>
      <rPr>
        <i/>
        <sz val="10"/>
        <color indexed="8"/>
        <rFont val="Arial"/>
        <family val="2"/>
      </rPr>
      <t xml:space="preserve"> R</t>
    </r>
    <r>
      <rPr>
        <i/>
        <vertAlign val="subscript"/>
        <sz val="10"/>
        <color indexed="8"/>
        <rFont val="Arial"/>
        <family val="2"/>
      </rPr>
      <t>i</t>
    </r>
    <r>
      <rPr>
        <i/>
        <sz val="10"/>
        <color indexed="8"/>
        <rFont val="Arial"/>
        <family val="2"/>
      </rPr>
      <t xml:space="preserve"> ∙</t>
    </r>
  </si>
  <si>
    <r>
      <t>R</t>
    </r>
    <r>
      <rPr>
        <i/>
        <vertAlign val="subscript"/>
        <sz val="10"/>
        <color indexed="8"/>
        <rFont val="Arial"/>
        <family val="2"/>
      </rPr>
      <t>i</t>
    </r>
    <r>
      <rPr>
        <i/>
        <sz val="10"/>
        <color indexed="8"/>
        <rFont val="Arial"/>
        <family val="2"/>
      </rPr>
      <t xml:space="preserve"> = E</t>
    </r>
    <r>
      <rPr>
        <i/>
        <vertAlign val="subscript"/>
        <sz val="10"/>
        <color indexed="8"/>
        <rFont val="Arial"/>
        <family val="2"/>
      </rPr>
      <t>i</t>
    </r>
    <r>
      <rPr>
        <i/>
        <sz val="10"/>
        <color indexed="8"/>
        <rFont val="Arial"/>
        <family val="2"/>
      </rPr>
      <t xml:space="preserve"> / N</t>
    </r>
    <r>
      <rPr>
        <i/>
        <vertAlign val="subscript"/>
        <sz val="10"/>
        <color indexed="8"/>
        <rFont val="Arial"/>
        <family val="2"/>
      </rPr>
      <t>i</t>
    </r>
    <r>
      <rPr>
        <i/>
        <sz val="10"/>
        <color indexed="8"/>
        <rFont val="Arial"/>
        <family val="2"/>
      </rPr>
      <t xml:space="preserve"> ∙</t>
    </r>
  </si>
  <si>
    <r>
      <t>w</t>
    </r>
    <r>
      <rPr>
        <i/>
        <vertAlign val="subscript"/>
        <sz val="10"/>
        <color indexed="8"/>
        <rFont val="Arial"/>
        <family val="2"/>
      </rPr>
      <t>i</t>
    </r>
    <r>
      <rPr>
        <i/>
        <vertAlign val="superscript"/>
        <sz val="10"/>
        <color indexed="8"/>
        <rFont val="Arial"/>
        <family val="2"/>
      </rPr>
      <t xml:space="preserve">2 </t>
    </r>
    <r>
      <rPr>
        <i/>
        <sz val="10"/>
        <color indexed="8"/>
        <rFont val="Arial"/>
        <family val="2"/>
      </rPr>
      <t>R</t>
    </r>
    <r>
      <rPr>
        <i/>
        <vertAlign val="subscript"/>
        <sz val="10"/>
        <color indexed="8"/>
        <rFont val="Arial"/>
        <family val="2"/>
      </rPr>
      <t xml:space="preserve">i </t>
    </r>
    <r>
      <rPr>
        <i/>
        <sz val="10"/>
        <color indexed="8"/>
        <rFont val="Arial"/>
        <family val="2"/>
      </rPr>
      <t>/ N</t>
    </r>
    <r>
      <rPr>
        <i/>
        <vertAlign val="subscript"/>
        <sz val="10"/>
        <color indexed="8"/>
        <rFont val="Arial"/>
        <family val="2"/>
      </rPr>
      <t>i</t>
    </r>
    <r>
      <rPr>
        <i/>
        <vertAlign val="superscript"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·</t>
    </r>
  </si>
  <si>
    <t>Bei großen Fallzahlen (&gt; 50) ist eine Approximation durch die Normalverteilung möglich. Ein Konfidenzintervall</t>
  </si>
  <si>
    <r>
      <t xml:space="preserve">beobachteten Ereignisse </t>
    </r>
    <r>
      <rPr>
        <i/>
        <sz val="10"/>
        <rFont val="Arial"/>
        <family val="2"/>
      </rPr>
      <t>E</t>
    </r>
    <r>
      <rPr>
        <sz val="10"/>
        <rFont val="Arial"/>
        <family val="2"/>
      </rPr>
      <t xml:space="preserve"> bestimmen:</t>
    </r>
  </si>
  <si>
    <r>
      <t xml:space="preserve">die Irrtumswahrscheinlichkeit α=0,05 und </t>
    </r>
    <r>
      <rPr>
        <i/>
        <sz val="10"/>
        <color theme="1"/>
        <rFont val="Arial"/>
        <family val="2"/>
      </rPr>
      <t>Z</t>
    </r>
    <r>
      <rPr>
        <vertAlign val="subscript"/>
        <sz val="10"/>
        <color theme="1"/>
        <rFont val="Arial"/>
        <family val="2"/>
      </rPr>
      <t>1-α/2</t>
    </r>
    <r>
      <rPr>
        <sz val="10"/>
        <color theme="1"/>
        <rFont val="Arial"/>
        <family val="2"/>
      </rPr>
      <t xml:space="preserve"> = 1,96, für ein 99%-Konfidenzintervall α=0,01 und Z</t>
    </r>
    <r>
      <rPr>
        <vertAlign val="subscript"/>
        <sz val="10"/>
        <color theme="1"/>
        <rFont val="Arial"/>
        <family val="2"/>
      </rPr>
      <t>1-α/2</t>
    </r>
    <r>
      <rPr>
        <sz val="10"/>
        <color theme="1"/>
        <rFont val="Arial"/>
        <family val="2"/>
      </rPr>
      <t xml:space="preserve"> = 2,58.</t>
    </r>
  </si>
  <si>
    <t>der erwarteten Ereignisse geteilt wird:</t>
  </si>
  <si>
    <r>
      <t xml:space="preserve">          ist das 100</t>
    </r>
    <r>
      <rPr>
        <i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-Perzentil der Chi-Quadrat-Verteilung mit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Freiheitsgraden.</t>
    </r>
  </si>
  <si>
    <r>
      <t xml:space="preserve">          ist das 100</t>
    </r>
    <r>
      <rPr>
        <i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-Perzentil der Chi-Quadrat-Verteilung mit </t>
    </r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Freiheitsgraden. </t>
    </r>
  </si>
  <si>
    <t>Konfidenzintervall der direkt standardisierten Rate</t>
  </si>
  <si>
    <t>Methode nach Fay und Feuer</t>
  </si>
  <si>
    <t>Approximation durch Gammaverteilung</t>
  </si>
  <si>
    <t>Methode nach Dobson et al.</t>
  </si>
  <si>
    <t>Konfidenzintervall der direkt standardisierten Rate als gewichtete Summe von Poisson-Parametern</t>
  </si>
  <si>
    <t>Konfidenzintervall unter der Annahme einer Normalverteilung der direkt standardisierten Rate</t>
  </si>
  <si>
    <t>Annahme einer Normalverteilung der direkt standardisierten Rate</t>
  </si>
  <si>
    <t>Gewichte für Methode</t>
  </si>
  <si>
    <t>nach Fay und Feuer</t>
  </si>
  <si>
    <t>erwartete Ereignisse im untersuchten Gebiet</t>
  </si>
  <si>
    <t>im untersuchten Gebiet</t>
  </si>
  <si>
    <r>
      <t>w</t>
    </r>
    <r>
      <rPr>
        <i/>
        <vertAlign val="subscript"/>
        <sz val="10"/>
        <color indexed="8"/>
        <rFont val="Arial"/>
        <family val="2"/>
      </rPr>
      <t>i</t>
    </r>
    <r>
      <rPr>
        <i/>
        <sz val="10"/>
        <color indexed="8"/>
        <rFont val="Arial"/>
        <family val="2"/>
      </rPr>
      <t xml:space="preserve"> / N</t>
    </r>
    <r>
      <rPr>
        <i/>
        <vertAlign val="subscript"/>
        <sz val="10"/>
        <color indexed="8"/>
        <rFont val="Arial"/>
        <family val="2"/>
      </rPr>
      <t xml:space="preserve">i </t>
    </r>
    <r>
      <rPr>
        <i/>
        <sz val="10"/>
        <color indexed="8"/>
        <rFont val="Arial"/>
        <family val="2"/>
      </rPr>
      <t>·</t>
    </r>
  </si>
  <si>
    <t>Die direkt standardisierte Rate als gewichtete Summe von Poisson-Parametern</t>
  </si>
  <si>
    <t>werden Konfidenzintervalle nach folgenden Methoden berechnet:</t>
  </si>
  <si>
    <t xml:space="preserve"> Methode nach Dobson et al. [1]:</t>
  </si>
  <si>
    <t>Methode nach Fay and Feuer [4]</t>
  </si>
  <si>
    <r>
      <t xml:space="preserve">                          ist das 100</t>
    </r>
    <r>
      <rPr>
        <i/>
        <sz val="10"/>
        <rFont val="Arial"/>
        <family val="2"/>
      </rPr>
      <t>a</t>
    </r>
    <r>
      <rPr>
        <sz val="10"/>
        <rFont val="Arial"/>
        <family val="2"/>
      </rPr>
      <t xml:space="preserve">-Perzentil der Gammaverteilung mit den Parametern </t>
    </r>
    <r>
      <rPr>
        <i/>
        <sz val="10"/>
        <rFont val="Arial"/>
        <family val="2"/>
      </rPr>
      <t>p</t>
    </r>
    <r>
      <rPr>
        <sz val="10"/>
        <rFont val="Arial"/>
        <family val="2"/>
      </rPr>
      <t xml:space="preserve"> und </t>
    </r>
    <r>
      <rPr>
        <i/>
        <sz val="10"/>
        <rFont val="Arial"/>
        <family val="2"/>
      </rPr>
      <t>q</t>
    </r>
    <r>
      <rPr>
        <sz val="10"/>
        <rFont val="Arial"/>
        <family val="2"/>
      </rPr>
      <t>.</t>
    </r>
  </si>
  <si>
    <t>Bei kleinen Fallzahlen ist die Approximation durch die Normalverteilung ungeeignet. Ausgehend von der Annahme,</t>
  </si>
  <si>
    <t>dass die Verteilung der direkt standarsisierten Rate der einer Summe von Poisson-Parametern entspricht,</t>
  </si>
  <si>
    <t>[3] Sahai H, Khurshid A. Confidence intervals for the mean of a Poisson distribution: a review. Biometrical Journal 1993; 35:857–867.</t>
  </si>
  <si>
    <t>[4] Fay MP, Feuer EJ. Confidence intervals for directly standardized rates: a method based on the gamma distribution. Stat Med. 1997; 16(7):791-801.</t>
  </si>
  <si>
    <t>[2] Sahai H, Khurshid A. Confidence intervals for the mean of a Poisson distribution: a review. Biometrical Journal 1993; 35:857–867.</t>
  </si>
  <si>
    <t>[7] Sahai H, Khurshid A. Confidence intervals for the mean of a Poisson distribution: a review. Biometrical Journal 1993; 35:857–867.</t>
  </si>
  <si>
    <r>
      <rPr>
        <i/>
        <sz val="10"/>
        <color theme="1"/>
        <rFont val="Arial"/>
        <family val="2"/>
      </rPr>
      <t>R</t>
    </r>
    <r>
      <rPr>
        <i/>
        <vertAlign val="subscript"/>
        <sz val="10"/>
        <color theme="1"/>
        <rFont val="Arial"/>
        <family val="2"/>
      </rPr>
      <t>std</t>
    </r>
    <r>
      <rPr>
        <sz val="10"/>
        <color theme="1"/>
        <rFont val="Arial"/>
        <family val="2"/>
      </rPr>
      <t xml:space="preserve"> = direkt standardisierte Rate (pro 100.000)</t>
    </r>
  </si>
  <si>
    <t>für die altersstandardisierte Rate erhält man mit folgender Formel:</t>
  </si>
  <si>
    <t>für Inzidenz/Mortalität</t>
  </si>
  <si>
    <t>auf die die Rate bezogen ist;</t>
  </si>
  <si>
    <t>für Inzidenz/Mortalität üblicherweise 100.000)</t>
  </si>
  <si>
    <t>http://www.krebsregister-bayern.de/Files/Epidemiologische_Maßzahlen_und_KI.xlsx</t>
  </si>
  <si>
    <t>Wenn Sie diese Formelsammlung für Veröffentlichungen verwenden, zitieren Sie das bitte entsprechend</t>
  </si>
  <si>
    <t>und geben Sie obigen Link als Referenz an.</t>
  </si>
  <si>
    <t>Die Konfidenzintervalle werden nach mehreren alternativen Methoden berechnet, die häufig in der Literatur</t>
  </si>
  <si>
    <t>genannt und in der Praxis verwendet werden. Die Formeln, nach denen die verschiedenen Konfidenzintervalle</t>
  </si>
  <si>
    <t>berechnet werden, sind unter den jeweiligen Tabellen angegeben. Am Ende jedes Tabellenblattes befinden</t>
  </si>
  <si>
    <t>sich Angaben zu weiterführender Literatur.</t>
  </si>
  <si>
    <t>Die Formelsammlung wird auf der Website des Krebsregisters Bayern unter folgendem Link zur Verfügung</t>
  </si>
  <si>
    <t>gestellt:</t>
  </si>
  <si>
    <t>(alter) Europastandard</t>
  </si>
  <si>
    <t>Weltstandard</t>
  </si>
  <si>
    <t>In obigem Beispiel wurde als Referenzbevölkerung (Spalte H) die Europastandardbevölkerung verwendet.</t>
  </si>
  <si>
    <t>Zellen B32:C32 eingeben, um SIR/SMR und das Konfidenzintervall zu erhalten.</t>
  </si>
  <si>
    <t>November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</si>
</sst>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"/>
    <numFmt numFmtId="165" formatCode="0.000"/>
    <numFmt numFmtId="166" formatCode="?0&quot;%&quot;"/>
    <numFmt numFmtId="167" formatCode="0.0000000000"/>
    <numFmt numFmtId="168" formatCode="0.00000000000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u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vertAlign val="subscript"/>
      <sz val="10"/>
      <color indexed="8"/>
      <name val="Arial"/>
      <family val="2"/>
    </font>
    <font>
      <sz val="10"/>
      <color theme="8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10"/>
      <color indexed="8"/>
      <name val="Arial"/>
      <family val="2"/>
    </font>
    <font>
      <sz val="10"/>
      <color rgb="FFFF0000"/>
      <name val="Arial"/>
      <family val="2"/>
    </font>
    <font>
      <vertAlign val="subscript"/>
      <sz val="10"/>
      <name val="Arial"/>
      <family val="2"/>
    </font>
    <font>
      <i/>
      <vertAlign val="subscript"/>
      <sz val="10"/>
      <name val="Arial"/>
      <family val="2"/>
    </font>
    <font>
      <i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theme="1"/>
      <name val="Arial"/>
      <family val="2"/>
    </font>
    <font>
      <i/>
      <vertAlign val="subscript"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u/>
      <sz val="10"/>
      <name val="Arial"/>
      <family val="2"/>
    </font>
    <font>
      <i/>
      <u/>
      <sz val="10"/>
      <color theme="1"/>
      <name val="Arial"/>
      <family val="2"/>
    </font>
    <font>
      <sz val="16"/>
      <color indexed="8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193">
    <xf numFmtId="0" fontId="0" fillId="0" borderId="0" xfId="0"/>
    <xf numFmtId="1" fontId="12" fillId="2" borderId="4" xfId="1" applyNumberFormat="1" applyFont="1" applyFill="1" applyBorder="1" applyProtection="1">
      <protection locked="0"/>
    </xf>
    <xf numFmtId="0" fontId="12" fillId="2" borderId="4" xfId="1" applyFont="1" applyFill="1" applyBorder="1" applyProtection="1">
      <protection locked="0"/>
    </xf>
    <xf numFmtId="0" fontId="12" fillId="2" borderId="5" xfId="1" applyNumberFormat="1" applyFont="1" applyFill="1" applyBorder="1" applyProtection="1">
      <protection locked="0"/>
    </xf>
    <xf numFmtId="0" fontId="12" fillId="2" borderId="5" xfId="1" applyFont="1" applyFill="1" applyBorder="1" applyProtection="1">
      <protection locked="0"/>
    </xf>
    <xf numFmtId="1" fontId="12" fillId="2" borderId="5" xfId="1" applyNumberFormat="1" applyFont="1" applyFill="1" applyBorder="1" applyProtection="1">
      <protection locked="0"/>
    </xf>
    <xf numFmtId="1" fontId="12" fillId="2" borderId="6" xfId="1" applyNumberFormat="1" applyFont="1" applyFill="1" applyBorder="1" applyProtection="1">
      <protection locked="0"/>
    </xf>
    <xf numFmtId="0" fontId="12" fillId="2" borderId="6" xfId="1" applyFont="1" applyFill="1" applyBorder="1" applyProtection="1">
      <protection locked="0"/>
    </xf>
    <xf numFmtId="0" fontId="2" fillId="4" borderId="7" xfId="1" applyNumberFormat="1" applyFont="1" applyFill="1" applyBorder="1" applyProtection="1"/>
    <xf numFmtId="0" fontId="1" fillId="4" borderId="7" xfId="1" applyFont="1" applyFill="1" applyBorder="1" applyProtection="1"/>
    <xf numFmtId="166" fontId="12" fillId="2" borderId="3" xfId="1" applyNumberFormat="1" applyFont="1" applyFill="1" applyBorder="1" applyAlignment="1" applyProtection="1">
      <alignment horizontal="center"/>
      <protection locked="0"/>
    </xf>
    <xf numFmtId="3" fontId="12" fillId="2" borderId="4" xfId="1" applyNumberFormat="1" applyFont="1" applyFill="1" applyBorder="1" applyProtection="1">
      <protection locked="0"/>
    </xf>
    <xf numFmtId="3" fontId="12" fillId="2" borderId="5" xfId="1" applyNumberFormat="1" applyFont="1" applyFill="1" applyBorder="1" applyProtection="1">
      <protection locked="0"/>
    </xf>
    <xf numFmtId="3" fontId="12" fillId="2" borderId="6" xfId="1" applyNumberFormat="1" applyFont="1" applyFill="1" applyBorder="1" applyProtection="1">
      <protection locked="0"/>
    </xf>
    <xf numFmtId="1" fontId="12" fillId="2" borderId="7" xfId="1" applyNumberFormat="1" applyFont="1" applyFill="1" applyBorder="1" applyProtection="1">
      <protection locked="0"/>
    </xf>
    <xf numFmtId="0" fontId="12" fillId="2" borderId="7" xfId="1" applyFont="1" applyFill="1" applyBorder="1" applyProtection="1">
      <protection locked="0"/>
    </xf>
    <xf numFmtId="2" fontId="1" fillId="4" borderId="7" xfId="1" applyNumberFormat="1" applyFont="1" applyFill="1" applyBorder="1" applyAlignment="1" applyProtection="1">
      <alignment horizontal="center"/>
    </xf>
    <xf numFmtId="3" fontId="12" fillId="2" borderId="7" xfId="1" applyNumberFormat="1" applyFont="1" applyFill="1" applyBorder="1" applyProtection="1">
      <protection locked="0"/>
    </xf>
    <xf numFmtId="2" fontId="1" fillId="2" borderId="0" xfId="1" applyNumberFormat="1" applyFont="1" applyFill="1" applyBorder="1" applyAlignment="1" applyProtection="1">
      <alignment horizontal="center"/>
    </xf>
    <xf numFmtId="0" fontId="8" fillId="2" borderId="0" xfId="1" applyFont="1" applyFill="1" applyProtection="1"/>
    <xf numFmtId="0" fontId="1" fillId="2" borderId="0" xfId="1" applyFill="1" applyProtection="1"/>
    <xf numFmtId="0" fontId="2" fillId="2" borderId="0" xfId="1" applyFont="1" applyFill="1" applyProtection="1"/>
    <xf numFmtId="2" fontId="2" fillId="2" borderId="0" xfId="1" applyNumberFormat="1" applyFont="1" applyFill="1" applyProtection="1"/>
    <xf numFmtId="2" fontId="6" fillId="2" borderId="0" xfId="1" applyNumberFormat="1" applyFont="1" applyFill="1" applyBorder="1" applyProtection="1"/>
    <xf numFmtId="0" fontId="3" fillId="3" borderId="2" xfId="1" applyFont="1" applyFill="1" applyBorder="1" applyAlignment="1" applyProtection="1">
      <alignment horizontal="center" vertical="top" wrapText="1" shrinkToFit="1"/>
    </xf>
    <xf numFmtId="0" fontId="4" fillId="3" borderId="2" xfId="1" applyFont="1" applyFill="1" applyBorder="1" applyAlignment="1" applyProtection="1">
      <alignment horizontal="center" vertical="top" wrapText="1" shrinkToFit="1"/>
    </xf>
    <xf numFmtId="0" fontId="1" fillId="2" borderId="0" xfId="1" applyFill="1" applyBorder="1" applyAlignment="1" applyProtection="1">
      <alignment wrapText="1"/>
    </xf>
    <xf numFmtId="0" fontId="1" fillId="2" borderId="0" xfId="1" applyFill="1" applyAlignment="1" applyProtection="1">
      <alignment wrapText="1"/>
    </xf>
    <xf numFmtId="0" fontId="1" fillId="3" borderId="3" xfId="1" applyFont="1" applyFill="1" applyBorder="1" applyAlignment="1" applyProtection="1">
      <alignment horizontal="center"/>
    </xf>
    <xf numFmtId="0" fontId="10" fillId="3" borderId="3" xfId="1" applyFont="1" applyFill="1" applyBorder="1" applyAlignment="1" applyProtection="1">
      <alignment horizontal="center" wrapText="1"/>
    </xf>
    <xf numFmtId="0" fontId="2" fillId="3" borderId="3" xfId="1" applyFont="1" applyFill="1" applyBorder="1" applyAlignment="1" applyProtection="1">
      <alignment horizontal="center" wrapText="1"/>
    </xf>
    <xf numFmtId="0" fontId="1" fillId="2" borderId="0" xfId="1" applyFill="1" applyBorder="1" applyProtection="1"/>
    <xf numFmtId="0" fontId="1" fillId="4" borderId="4" xfId="1" applyFill="1" applyBorder="1" applyProtection="1"/>
    <xf numFmtId="2" fontId="2" fillId="4" borderId="4" xfId="1" applyNumberFormat="1" applyFont="1" applyFill="1" applyBorder="1" applyProtection="1"/>
    <xf numFmtId="0" fontId="1" fillId="4" borderId="5" xfId="1" applyFill="1" applyBorder="1" applyProtection="1"/>
    <xf numFmtId="2" fontId="2" fillId="4" borderId="5" xfId="1" applyNumberFormat="1" applyFont="1" applyFill="1" applyBorder="1" applyProtection="1"/>
    <xf numFmtId="0" fontId="1" fillId="4" borderId="6" xfId="1" applyFill="1" applyBorder="1" applyProtection="1"/>
    <xf numFmtId="2" fontId="2" fillId="4" borderId="6" xfId="1" applyNumberFormat="1" applyFont="1" applyFill="1" applyBorder="1" applyProtection="1"/>
    <xf numFmtId="0" fontId="2" fillId="4" borderId="7" xfId="1" applyFont="1" applyFill="1" applyBorder="1" applyProtection="1"/>
    <xf numFmtId="2" fontId="2" fillId="4" borderId="7" xfId="1" applyNumberFormat="1" applyFont="1" applyFill="1" applyBorder="1" applyProtection="1"/>
    <xf numFmtId="0" fontId="4" fillId="2" borderId="0" xfId="1" applyFont="1" applyFill="1" applyBorder="1" applyProtection="1"/>
    <xf numFmtId="0" fontId="3" fillId="2" borderId="0" xfId="1" applyFont="1" applyFill="1" applyBorder="1" applyProtection="1"/>
    <xf numFmtId="0" fontId="2" fillId="2" borderId="0" xfId="1" applyFont="1" applyFill="1" applyBorder="1" applyProtection="1"/>
    <xf numFmtId="2" fontId="4" fillId="2" borderId="0" xfId="1" applyNumberFormat="1" applyFont="1" applyFill="1" applyBorder="1" applyProtection="1"/>
    <xf numFmtId="0" fontId="3" fillId="2" borderId="0" xfId="1" applyFont="1" applyFill="1" applyProtection="1"/>
    <xf numFmtId="0" fontId="3" fillId="3" borderId="8" xfId="1" applyFont="1" applyFill="1" applyBorder="1" applyAlignment="1" applyProtection="1">
      <alignment horizontal="center"/>
    </xf>
    <xf numFmtId="164" fontId="4" fillId="3" borderId="8" xfId="1" applyNumberFormat="1" applyFont="1" applyFill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center"/>
    </xf>
    <xf numFmtId="2" fontId="4" fillId="2" borderId="0" xfId="1" applyNumberFormat="1" applyFont="1" applyFill="1" applyProtection="1"/>
    <xf numFmtId="0" fontId="7" fillId="2" borderId="0" xfId="1" applyFont="1" applyFill="1" applyProtection="1"/>
    <xf numFmtId="165" fontId="1" fillId="4" borderId="3" xfId="1" applyNumberFormat="1" applyFill="1" applyBorder="1" applyAlignment="1" applyProtection="1">
      <alignment horizontal="center"/>
    </xf>
    <xf numFmtId="0" fontId="16" fillId="2" borderId="0" xfId="1" applyFont="1" applyFill="1" applyProtection="1"/>
    <xf numFmtId="0" fontId="4" fillId="3" borderId="2" xfId="1" applyFont="1" applyFill="1" applyBorder="1" applyAlignment="1" applyProtection="1">
      <alignment horizontal="center" wrapText="1"/>
    </xf>
    <xf numFmtId="0" fontId="2" fillId="3" borderId="1" xfId="1" applyFont="1" applyFill="1" applyBorder="1" applyAlignment="1" applyProtection="1">
      <alignment horizontal="center" wrapText="1"/>
    </xf>
    <xf numFmtId="0" fontId="2" fillId="3" borderId="10" xfId="1" applyFont="1" applyFill="1" applyBorder="1" applyAlignment="1" applyProtection="1">
      <alignment horizontal="center" wrapText="1"/>
    </xf>
    <xf numFmtId="0" fontId="0" fillId="0" borderId="0" xfId="0" applyProtection="1"/>
    <xf numFmtId="165" fontId="1" fillId="2" borderId="0" xfId="1" applyNumberFormat="1" applyFill="1" applyProtection="1"/>
    <xf numFmtId="0" fontId="5" fillId="2" borderId="0" xfId="1" applyFont="1" applyFill="1" applyProtection="1"/>
    <xf numFmtId="0" fontId="19" fillId="2" borderId="0" xfId="0" applyFont="1" applyFill="1" applyBorder="1" applyProtection="1"/>
    <xf numFmtId="0" fontId="21" fillId="2" borderId="0" xfId="0" applyFont="1" applyFill="1" applyBorder="1" applyAlignment="1" applyProtection="1">
      <alignment vertical="center"/>
    </xf>
    <xf numFmtId="0" fontId="1" fillId="2" borderId="0" xfId="1" applyFont="1" applyFill="1" applyBorder="1" applyProtection="1"/>
    <xf numFmtId="0" fontId="21" fillId="2" borderId="0" xfId="0" applyFont="1" applyFill="1" applyAlignment="1" applyProtection="1">
      <alignment vertical="center"/>
    </xf>
    <xf numFmtId="0" fontId="21" fillId="0" borderId="0" xfId="0" applyFont="1" applyProtection="1"/>
    <xf numFmtId="0" fontId="12" fillId="2" borderId="3" xfId="1" applyFont="1" applyFill="1" applyBorder="1" applyAlignment="1" applyProtection="1">
      <alignment horizontal="center"/>
      <protection locked="0"/>
    </xf>
    <xf numFmtId="2" fontId="12" fillId="2" borderId="3" xfId="1" applyNumberFormat="1" applyFont="1" applyFill="1" applyBorder="1" applyAlignment="1" applyProtection="1">
      <alignment horizontal="center"/>
      <protection locked="0"/>
    </xf>
    <xf numFmtId="164" fontId="2" fillId="4" borderId="4" xfId="1" applyNumberFormat="1" applyFont="1" applyFill="1" applyBorder="1" applyProtection="1">
      <protection locked="0"/>
    </xf>
    <xf numFmtId="164" fontId="2" fillId="4" borderId="5" xfId="1" applyNumberFormat="1" applyFont="1" applyFill="1" applyBorder="1" applyProtection="1">
      <protection locked="0"/>
    </xf>
    <xf numFmtId="164" fontId="2" fillId="4" borderId="6" xfId="1" applyNumberFormat="1" applyFont="1" applyFill="1" applyBorder="1" applyProtection="1">
      <protection locked="0"/>
    </xf>
    <xf numFmtId="0" fontId="1" fillId="2" borderId="1" xfId="1" applyFill="1" applyBorder="1" applyProtection="1"/>
    <xf numFmtId="0" fontId="3" fillId="3" borderId="11" xfId="1" applyFont="1" applyFill="1" applyBorder="1" applyAlignment="1" applyProtection="1">
      <alignment horizontal="center" vertical="top" wrapText="1" shrinkToFit="1"/>
    </xf>
    <xf numFmtId="0" fontId="4" fillId="3" borderId="11" xfId="1" applyFont="1" applyFill="1" applyBorder="1" applyAlignment="1" applyProtection="1">
      <alignment horizontal="center" vertical="top" wrapText="1" shrinkToFit="1"/>
    </xf>
    <xf numFmtId="0" fontId="4" fillId="3" borderId="12" xfId="1" applyFont="1" applyFill="1" applyBorder="1" applyAlignment="1" applyProtection="1">
      <alignment horizontal="center" vertical="top" wrapText="1" shrinkToFit="1"/>
    </xf>
    <xf numFmtId="0" fontId="4" fillId="3" borderId="0" xfId="1" applyFont="1" applyFill="1" applyBorder="1" applyAlignment="1" applyProtection="1">
      <alignment horizontal="center" vertical="top" wrapText="1" shrinkToFit="1"/>
    </xf>
    <xf numFmtId="0" fontId="4" fillId="3" borderId="13" xfId="1" applyFont="1" applyFill="1" applyBorder="1" applyAlignment="1" applyProtection="1">
      <alignment horizontal="center" vertical="top" wrapText="1" shrinkToFit="1"/>
    </xf>
    <xf numFmtId="0" fontId="10" fillId="3" borderId="15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/>
    </xf>
    <xf numFmtId="0" fontId="2" fillId="3" borderId="10" xfId="1" applyFont="1" applyFill="1" applyBorder="1" applyAlignment="1" applyProtection="1">
      <alignment horizontal="left"/>
    </xf>
    <xf numFmtId="3" fontId="2" fillId="3" borderId="1" xfId="1" applyNumberFormat="1" applyFont="1" applyFill="1" applyBorder="1" applyAlignment="1" applyProtection="1">
      <alignment horizontal="center"/>
    </xf>
    <xf numFmtId="0" fontId="10" fillId="3" borderId="10" xfId="1" quotePrefix="1" applyFont="1" applyFill="1" applyBorder="1" applyAlignment="1" applyProtection="1">
      <alignment horizontal="left" wrapText="1"/>
    </xf>
    <xf numFmtId="0" fontId="10" fillId="3" borderId="15" xfId="1" applyFont="1" applyFill="1" applyBorder="1" applyAlignment="1" applyProtection="1">
      <alignment horizontal="right" wrapText="1"/>
    </xf>
    <xf numFmtId="0" fontId="1" fillId="3" borderId="10" xfId="1" applyFill="1" applyBorder="1" applyProtection="1"/>
    <xf numFmtId="3" fontId="2" fillId="4" borderId="7" xfId="3" applyNumberFormat="1" applyFont="1" applyFill="1" applyBorder="1" applyProtection="1"/>
    <xf numFmtId="0" fontId="3" fillId="2" borderId="0" xfId="1" applyFont="1" applyFill="1" applyBorder="1" applyAlignment="1" applyProtection="1">
      <alignment horizontal="right"/>
    </xf>
    <xf numFmtId="0" fontId="3" fillId="2" borderId="0" xfId="1" applyFont="1" applyFill="1" applyBorder="1" applyAlignment="1" applyProtection="1">
      <alignment horizontal="center"/>
    </xf>
    <xf numFmtId="0" fontId="3" fillId="3" borderId="11" xfId="1" applyFont="1" applyFill="1" applyBorder="1" applyAlignment="1" applyProtection="1">
      <alignment horizontal="center"/>
    </xf>
    <xf numFmtId="0" fontId="1" fillId="3" borderId="0" xfId="1" applyFill="1" applyProtection="1"/>
    <xf numFmtId="0" fontId="1" fillId="3" borderId="11" xfId="1" applyFill="1" applyBorder="1" applyProtection="1"/>
    <xf numFmtId="0" fontId="1" fillId="2" borderId="0" xfId="1" applyFont="1" applyFill="1" applyProtection="1"/>
    <xf numFmtId="2" fontId="1" fillId="2" borderId="0" xfId="1" applyNumberFormat="1" applyFont="1" applyFill="1" applyProtection="1"/>
    <xf numFmtId="0" fontId="1" fillId="2" borderId="0" xfId="1" applyFill="1" applyAlignment="1" applyProtection="1">
      <alignment horizontal="right"/>
    </xf>
    <xf numFmtId="0" fontId="10" fillId="2" borderId="0" xfId="1" applyFont="1" applyFill="1" applyBorder="1" applyAlignment="1" applyProtection="1">
      <alignment horizontal="center" wrapText="1"/>
    </xf>
    <xf numFmtId="3" fontId="1" fillId="2" borderId="0" xfId="1" applyNumberFormat="1" applyFill="1" applyProtection="1"/>
    <xf numFmtId="0" fontId="4" fillId="3" borderId="11" xfId="1" applyFont="1" applyFill="1" applyBorder="1" applyAlignment="1" applyProtection="1">
      <alignment horizontal="center" wrapText="1"/>
    </xf>
    <xf numFmtId="166" fontId="12" fillId="2" borderId="0" xfId="1" applyNumberFormat="1" applyFont="1" applyFill="1" applyBorder="1" applyAlignment="1" applyProtection="1">
      <alignment horizontal="center"/>
    </xf>
    <xf numFmtId="0" fontId="1" fillId="2" borderId="13" xfId="1" applyFill="1" applyBorder="1" applyProtection="1"/>
    <xf numFmtId="0" fontId="4" fillId="3" borderId="0" xfId="1" applyFont="1" applyFill="1" applyBorder="1" applyAlignment="1" applyProtection="1">
      <alignment horizontal="center" vertical="top"/>
    </xf>
    <xf numFmtId="0" fontId="1" fillId="3" borderId="13" xfId="1" applyFill="1" applyBorder="1" applyAlignment="1" applyProtection="1">
      <alignment horizontal="center"/>
    </xf>
    <xf numFmtId="0" fontId="2" fillId="3" borderId="15" xfId="1" applyFont="1" applyFill="1" applyBorder="1" applyAlignment="1" applyProtection="1">
      <alignment horizontal="center" wrapText="1"/>
    </xf>
    <xf numFmtId="0" fontId="1" fillId="2" borderId="12" xfId="1" applyFill="1" applyBorder="1" applyProtection="1"/>
    <xf numFmtId="0" fontId="3" fillId="2" borderId="0" xfId="1" applyFont="1" applyFill="1" applyBorder="1" applyAlignment="1" applyProtection="1">
      <alignment horizontal="center" vertical="top" wrapText="1" shrinkToFit="1"/>
    </xf>
    <xf numFmtId="0" fontId="4" fillId="2" borderId="0" xfId="1" applyFont="1" applyFill="1" applyBorder="1" applyAlignment="1" applyProtection="1">
      <alignment horizontal="center" vertical="top" wrapText="1" shrinkToFit="1"/>
    </xf>
    <xf numFmtId="3" fontId="1" fillId="2" borderId="0" xfId="1" applyNumberFormat="1" applyFont="1" applyFill="1" applyBorder="1" applyProtection="1"/>
    <xf numFmtId="0" fontId="24" fillId="2" borderId="0" xfId="1" applyFont="1" applyFill="1" applyProtection="1"/>
    <xf numFmtId="0" fontId="25" fillId="2" borderId="0" xfId="0" applyFont="1" applyFill="1" applyProtection="1"/>
    <xf numFmtId="3" fontId="2" fillId="2" borderId="0" xfId="3" applyNumberFormat="1" applyFont="1" applyFill="1" applyBorder="1" applyProtection="1"/>
    <xf numFmtId="0" fontId="21" fillId="2" borderId="0" xfId="0" applyFont="1" applyFill="1" applyProtection="1"/>
    <xf numFmtId="0" fontId="3" fillId="3" borderId="3" xfId="1" applyFont="1" applyFill="1" applyBorder="1" applyAlignment="1" applyProtection="1">
      <alignment horizontal="center" vertical="top" wrapText="1" shrinkToFit="1"/>
    </xf>
    <xf numFmtId="0" fontId="4" fillId="3" borderId="3" xfId="1" applyFont="1" applyFill="1" applyBorder="1" applyAlignment="1" applyProtection="1">
      <alignment horizontal="center" vertical="top" wrapText="1" shrinkToFit="1"/>
    </xf>
    <xf numFmtId="3" fontId="1" fillId="4" borderId="4" xfId="1" applyNumberFormat="1" applyFont="1" applyFill="1" applyBorder="1" applyProtection="1"/>
    <xf numFmtId="3" fontId="1" fillId="4" borderId="5" xfId="1" applyNumberFormat="1" applyFont="1" applyFill="1" applyBorder="1" applyProtection="1"/>
    <xf numFmtId="3" fontId="1" fillId="4" borderId="6" xfId="1" applyNumberFormat="1" applyFont="1" applyFill="1" applyBorder="1" applyProtection="1"/>
    <xf numFmtId="164" fontId="2" fillId="4" borderId="7" xfId="1" applyNumberFormat="1" applyFont="1" applyFill="1" applyBorder="1" applyProtection="1"/>
    <xf numFmtId="164" fontId="2" fillId="2" borderId="0" xfId="1" applyNumberFormat="1" applyFont="1" applyFill="1" applyBorder="1" applyProtection="1"/>
    <xf numFmtId="2" fontId="2" fillId="2" borderId="0" xfId="1" applyNumberFormat="1" applyFont="1" applyFill="1" applyBorder="1" applyProtection="1"/>
    <xf numFmtId="167" fontId="2" fillId="2" borderId="0" xfId="1" applyNumberFormat="1" applyFont="1" applyFill="1" applyBorder="1" applyProtection="1"/>
    <xf numFmtId="1" fontId="12" fillId="2" borderId="0" xfId="1" applyNumberFormat="1" applyFont="1" applyFill="1" applyBorder="1" applyProtection="1"/>
    <xf numFmtId="0" fontId="12" fillId="2" borderId="0" xfId="1" applyFont="1" applyFill="1" applyBorder="1" applyProtection="1"/>
    <xf numFmtId="3" fontId="12" fillId="2" borderId="0" xfId="1" applyNumberFormat="1" applyFont="1" applyFill="1" applyBorder="1" applyProtection="1"/>
    <xf numFmtId="0" fontId="4" fillId="3" borderId="0" xfId="1" applyFont="1" applyFill="1" applyBorder="1" applyAlignment="1" applyProtection="1">
      <alignment horizontal="center" wrapText="1"/>
    </xf>
    <xf numFmtId="0" fontId="1" fillId="3" borderId="13" xfId="1" applyFill="1" applyBorder="1" applyAlignment="1" applyProtection="1"/>
    <xf numFmtId="168" fontId="16" fillId="2" borderId="0" xfId="1" applyNumberFormat="1" applyFont="1" applyFill="1" applyProtection="1"/>
    <xf numFmtId="165" fontId="2" fillId="2" borderId="0" xfId="1" applyNumberFormat="1" applyFont="1" applyFill="1" applyProtection="1"/>
    <xf numFmtId="0" fontId="1" fillId="2" borderId="0" xfId="0" applyFont="1" applyFill="1" applyAlignment="1" applyProtection="1">
      <alignment vertical="center"/>
    </xf>
    <xf numFmtId="49" fontId="1" fillId="2" borderId="0" xfId="1" applyNumberFormat="1" applyFont="1" applyFill="1" applyProtection="1"/>
    <xf numFmtId="2" fontId="1" fillId="2" borderId="0" xfId="1" applyNumberFormat="1" applyFill="1" applyProtection="1"/>
    <xf numFmtId="0" fontId="2" fillId="3" borderId="1" xfId="1" applyFont="1" applyFill="1" applyBorder="1" applyAlignment="1" applyProtection="1">
      <alignment horizontal="center" wrapText="1"/>
    </xf>
    <xf numFmtId="0" fontId="10" fillId="3" borderId="12" xfId="1" applyFont="1" applyFill="1" applyBorder="1" applyAlignment="1" applyProtection="1">
      <alignment horizontal="right" wrapText="1"/>
    </xf>
    <xf numFmtId="0" fontId="1" fillId="3" borderId="13" xfId="1" applyFill="1" applyBorder="1" applyProtection="1"/>
    <xf numFmtId="0" fontId="2" fillId="3" borderId="0" xfId="1" applyFont="1" applyFill="1" applyBorder="1" applyAlignment="1" applyProtection="1">
      <alignment horizontal="left"/>
    </xf>
    <xf numFmtId="0" fontId="2" fillId="3" borderId="11" xfId="1" applyFont="1" applyFill="1" applyBorder="1" applyAlignment="1" applyProtection="1">
      <alignment horizontal="center" vertical="top" wrapText="1" shrinkToFit="1"/>
    </xf>
    <xf numFmtId="0" fontId="27" fillId="2" borderId="0" xfId="2" applyFont="1" applyFill="1" applyProtection="1"/>
    <xf numFmtId="0" fontId="4" fillId="3" borderId="8" xfId="1" applyFont="1" applyFill="1" applyBorder="1" applyAlignment="1" applyProtection="1">
      <alignment horizontal="center" wrapText="1"/>
    </xf>
    <xf numFmtId="0" fontId="1" fillId="3" borderId="9" xfId="1" applyFill="1" applyBorder="1" applyAlignment="1" applyProtection="1"/>
    <xf numFmtId="0" fontId="4" fillId="3" borderId="8" xfId="1" applyFont="1" applyFill="1" applyBorder="1" applyAlignment="1" applyProtection="1">
      <alignment horizontal="center" vertical="top"/>
    </xf>
    <xf numFmtId="0" fontId="1" fillId="3" borderId="9" xfId="1" applyFill="1" applyBorder="1" applyAlignment="1" applyProtection="1">
      <alignment horizontal="center"/>
    </xf>
    <xf numFmtId="0" fontId="4" fillId="3" borderId="14" xfId="1" applyFont="1" applyFill="1" applyBorder="1" applyAlignment="1" applyProtection="1">
      <alignment horizontal="center" wrapText="1"/>
    </xf>
    <xf numFmtId="0" fontId="4" fillId="3" borderId="12" xfId="1" applyFont="1" applyFill="1" applyBorder="1" applyAlignment="1" applyProtection="1">
      <alignment horizontal="center" wrapText="1"/>
    </xf>
    <xf numFmtId="0" fontId="0" fillId="0" borderId="13" xfId="0" applyBorder="1" applyAlignment="1" applyProtection="1"/>
    <xf numFmtId="0" fontId="4" fillId="3" borderId="12" xfId="1" applyFont="1" applyFill="1" applyBorder="1" applyAlignment="1" applyProtection="1">
      <alignment horizontal="center" vertical="top"/>
    </xf>
    <xf numFmtId="0" fontId="0" fillId="0" borderId="13" xfId="0" applyBorder="1" applyAlignment="1" applyProtection="1">
      <alignment horizontal="center"/>
    </xf>
    <xf numFmtId="0" fontId="4" fillId="3" borderId="8" xfId="1" applyFont="1" applyFill="1" applyBorder="1" applyAlignment="1" applyProtection="1">
      <alignment horizontal="center" vertical="top" wrapText="1" shrinkToFit="1"/>
    </xf>
    <xf numFmtId="0" fontId="0" fillId="0" borderId="14" xfId="0" applyBorder="1" applyAlignment="1" applyProtection="1">
      <alignment horizontal="center" vertical="top" wrapText="1" shrinkToFit="1"/>
    </xf>
    <xf numFmtId="0" fontId="0" fillId="0" borderId="9" xfId="0" applyBorder="1" applyAlignment="1" applyProtection="1">
      <alignment horizontal="center" vertical="top" wrapText="1" shrinkToFit="1"/>
    </xf>
    <xf numFmtId="0" fontId="4" fillId="3" borderId="12" xfId="1" applyFont="1" applyFill="1" applyBorder="1" applyAlignment="1" applyProtection="1">
      <alignment horizontal="center" vertical="top" wrapText="1" shrinkToFit="1"/>
    </xf>
    <xf numFmtId="0" fontId="0" fillId="0" borderId="0" xfId="0" applyAlignment="1" applyProtection="1">
      <alignment horizontal="center" vertical="top" wrapText="1" shrinkToFit="1"/>
    </xf>
    <xf numFmtId="0" fontId="0" fillId="0" borderId="13" xfId="0" applyBorder="1" applyAlignment="1" applyProtection="1">
      <alignment horizontal="center" vertical="top" wrapText="1" shrinkToFit="1"/>
    </xf>
    <xf numFmtId="2" fontId="2" fillId="4" borderId="23" xfId="1" applyNumberFormat="1" applyFont="1" applyFill="1" applyBorder="1" applyAlignment="1" applyProtection="1"/>
    <xf numFmtId="0" fontId="0" fillId="0" borderId="21" xfId="0" applyBorder="1" applyAlignment="1" applyProtection="1"/>
    <xf numFmtId="0" fontId="0" fillId="0" borderId="24" xfId="0" applyBorder="1" applyAlignment="1" applyProtection="1"/>
    <xf numFmtId="2" fontId="2" fillId="4" borderId="30" xfId="1" applyNumberFormat="1" applyFont="1" applyFill="1" applyBorder="1" applyAlignment="1" applyProtection="1"/>
    <xf numFmtId="0" fontId="0" fillId="0" borderId="29" xfId="0" applyBorder="1" applyAlignment="1" applyProtection="1"/>
    <xf numFmtId="0" fontId="0" fillId="0" borderId="28" xfId="0" applyBorder="1" applyAlignment="1" applyProtection="1"/>
    <xf numFmtId="164" fontId="2" fillId="4" borderId="19" xfId="1" applyNumberFormat="1" applyFont="1" applyFill="1" applyBorder="1" applyAlignment="1" applyProtection="1"/>
    <xf numFmtId="0" fontId="0" fillId="0" borderId="22" xfId="0" applyBorder="1" applyAlignment="1" applyProtection="1"/>
    <xf numFmtId="0" fontId="0" fillId="0" borderId="20" xfId="0" applyBorder="1" applyAlignment="1" applyProtection="1"/>
    <xf numFmtId="0" fontId="0" fillId="0" borderId="0" xfId="0" applyBorder="1" applyAlignment="1" applyProtection="1">
      <alignment horizontal="center" vertical="top" wrapText="1" shrinkToFit="1"/>
    </xf>
    <xf numFmtId="164" fontId="2" fillId="4" borderId="16" xfId="1" applyNumberFormat="1" applyFont="1" applyFill="1" applyBorder="1" applyAlignment="1" applyProtection="1"/>
    <xf numFmtId="0" fontId="0" fillId="0" borderId="17" xfId="0" applyBorder="1" applyAlignment="1" applyProtection="1"/>
    <xf numFmtId="0" fontId="0" fillId="0" borderId="18" xfId="0" applyBorder="1" applyAlignment="1" applyProtection="1"/>
    <xf numFmtId="2" fontId="2" fillId="4" borderId="19" xfId="1" applyNumberFormat="1" applyFont="1" applyFill="1" applyBorder="1" applyAlignment="1" applyProtection="1"/>
    <xf numFmtId="0" fontId="0" fillId="0" borderId="0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2" fontId="2" fillId="4" borderId="16" xfId="1" applyNumberFormat="1" applyFont="1" applyFill="1" applyBorder="1" applyAlignment="1" applyProtection="1"/>
    <xf numFmtId="0" fontId="0" fillId="0" borderId="22" xfId="0" applyBorder="1" applyAlignment="1"/>
    <xf numFmtId="0" fontId="0" fillId="0" borderId="20" xfId="0" applyBorder="1" applyAlignment="1"/>
    <xf numFmtId="2" fontId="2" fillId="4" borderId="25" xfId="1" applyNumberFormat="1" applyFont="1" applyFill="1" applyBorder="1" applyAlignment="1" applyProtection="1"/>
    <xf numFmtId="0" fontId="0" fillId="0" borderId="26" xfId="0" applyBorder="1" applyAlignment="1" applyProtection="1"/>
    <xf numFmtId="0" fontId="0" fillId="0" borderId="27" xfId="0" applyBorder="1" applyAlignment="1" applyProtection="1"/>
    <xf numFmtId="0" fontId="4" fillId="3" borderId="8" xfId="1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4" fillId="3" borderId="12" xfId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2" fillId="3" borderId="1" xfId="1" applyFont="1" applyFill="1" applyBorder="1" applyAlignment="1" applyProtection="1">
      <alignment horizontal="center" wrapText="1"/>
    </xf>
    <xf numFmtId="0" fontId="0" fillId="0" borderId="1" xfId="0" applyBorder="1" applyAlignment="1" applyProtection="1"/>
    <xf numFmtId="0" fontId="0" fillId="0" borderId="10" xfId="0" applyBorder="1" applyAlignment="1" applyProtection="1"/>
    <xf numFmtId="165" fontId="1" fillId="4" borderId="30" xfId="1" applyNumberFormat="1" applyFill="1" applyBorder="1" applyAlignment="1" applyProtection="1">
      <alignment horizontal="center"/>
    </xf>
    <xf numFmtId="164" fontId="2" fillId="4" borderId="25" xfId="1" applyNumberFormat="1" applyFont="1" applyFill="1" applyBorder="1" applyAlignment="1" applyProtection="1"/>
    <xf numFmtId="164" fontId="2" fillId="4" borderId="30" xfId="1" applyNumberFormat="1" applyFont="1" applyFill="1" applyBorder="1" applyAlignment="1" applyProtection="1"/>
    <xf numFmtId="164" fontId="2" fillId="4" borderId="29" xfId="1" applyNumberFormat="1" applyFont="1" applyFill="1" applyBorder="1" applyAlignment="1" applyProtection="1"/>
    <xf numFmtId="164" fontId="2" fillId="4" borderId="28" xfId="1" applyNumberFormat="1" applyFont="1" applyFill="1" applyBorder="1" applyAlignment="1" applyProtection="1"/>
    <xf numFmtId="2" fontId="2" fillId="4" borderId="31" xfId="1" applyNumberFormat="1" applyFont="1" applyFill="1" applyBorder="1" applyAlignment="1" applyProtection="1"/>
    <xf numFmtId="0" fontId="0" fillId="0" borderId="32" xfId="0" applyBorder="1" applyAlignment="1"/>
    <xf numFmtId="0" fontId="0" fillId="0" borderId="33" xfId="0" applyBorder="1" applyAlignment="1"/>
    <xf numFmtId="0" fontId="0" fillId="0" borderId="29" xfId="0" applyBorder="1" applyAlignment="1"/>
    <xf numFmtId="0" fontId="0" fillId="0" borderId="28" xfId="0" applyBorder="1" applyAlignment="1"/>
    <xf numFmtId="0" fontId="0" fillId="0" borderId="1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7" xfId="0" applyBorder="1" applyAlignment="1"/>
    <xf numFmtId="0" fontId="0" fillId="0" borderId="18" xfId="0" applyBorder="1" applyAlignment="1"/>
  </cellXfs>
  <cellStyles count="4">
    <cellStyle name="Hyperlink" xfId="2" builtinId="8"/>
    <cellStyle name="Komma" xfId="3" builtinId="3"/>
    <cellStyle name="Standard" xfId="0" builtinId="0"/>
    <cellStyle name="Standard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24.png"/><Relationship Id="rId3" Type="http://schemas.openxmlformats.org/officeDocument/2006/relationships/image" Target="../media/image17.png"/><Relationship Id="rId7" Type="http://schemas.openxmlformats.org/officeDocument/2006/relationships/image" Target="../media/image12.png"/><Relationship Id="rId12" Type="http://schemas.openxmlformats.org/officeDocument/2006/relationships/image" Target="../media/image23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openxmlformats.org/officeDocument/2006/relationships/image" Target="../media/image21.png"/><Relationship Id="rId4" Type="http://schemas.openxmlformats.org/officeDocument/2006/relationships/image" Target="../media/image18.png"/><Relationship Id="rId9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5.png"/><Relationship Id="rId7" Type="http://schemas.openxmlformats.org/officeDocument/2006/relationships/image" Target="../media/image15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4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76</xdr:row>
      <xdr:rowOff>9525</xdr:rowOff>
    </xdr:from>
    <xdr:to>
      <xdr:col>3</xdr:col>
      <xdr:colOff>1333500</xdr:colOff>
      <xdr:row>77</xdr:row>
      <xdr:rowOff>66675</xdr:rowOff>
    </xdr:to>
    <xdr:pic>
      <xdr:nvPicPr>
        <xdr:cNvPr id="18" name="Grafik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2963525"/>
          <a:ext cx="46386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60</xdr:row>
      <xdr:rowOff>0</xdr:rowOff>
    </xdr:from>
    <xdr:to>
      <xdr:col>2</xdr:col>
      <xdr:colOff>1314450</xdr:colOff>
      <xdr:row>61</xdr:row>
      <xdr:rowOff>28575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762875"/>
          <a:ext cx="28765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64</xdr:row>
      <xdr:rowOff>0</xdr:rowOff>
    </xdr:from>
    <xdr:to>
      <xdr:col>5</xdr:col>
      <xdr:colOff>238125</xdr:colOff>
      <xdr:row>64</xdr:row>
      <xdr:rowOff>180975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5763875"/>
          <a:ext cx="238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</xdr:colOff>
      <xdr:row>68</xdr:row>
      <xdr:rowOff>0</xdr:rowOff>
    </xdr:from>
    <xdr:to>
      <xdr:col>5</xdr:col>
      <xdr:colOff>1714500</xdr:colOff>
      <xdr:row>70</xdr:row>
      <xdr:rowOff>57150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0515600"/>
          <a:ext cx="16859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</xdr:colOff>
      <xdr:row>52</xdr:row>
      <xdr:rowOff>142875</xdr:rowOff>
    </xdr:from>
    <xdr:to>
      <xdr:col>6</xdr:col>
      <xdr:colOff>276225</xdr:colOff>
      <xdr:row>55</xdr:row>
      <xdr:rowOff>0</xdr:rowOff>
    </xdr:to>
    <xdr:pic>
      <xdr:nvPicPr>
        <xdr:cNvPr id="12" name="Grafik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6610350"/>
          <a:ext cx="21336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78</xdr:row>
      <xdr:rowOff>28575</xdr:rowOff>
    </xdr:from>
    <xdr:to>
      <xdr:col>1</xdr:col>
      <xdr:colOff>752475</xdr:colOff>
      <xdr:row>79</xdr:row>
      <xdr:rowOff>57150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087100"/>
          <a:ext cx="6953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94</xdr:row>
      <xdr:rowOff>95250</xdr:rowOff>
    </xdr:from>
    <xdr:to>
      <xdr:col>1</xdr:col>
      <xdr:colOff>1219200</xdr:colOff>
      <xdr:row>96</xdr:row>
      <xdr:rowOff>19050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963775"/>
          <a:ext cx="11430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96</xdr:row>
      <xdr:rowOff>133350</xdr:rowOff>
    </xdr:from>
    <xdr:to>
      <xdr:col>2</xdr:col>
      <xdr:colOff>352425</xdr:colOff>
      <xdr:row>99</xdr:row>
      <xdr:rowOff>66675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487650"/>
          <a:ext cx="18669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102</xdr:row>
      <xdr:rowOff>95250</xdr:rowOff>
    </xdr:from>
    <xdr:to>
      <xdr:col>3</xdr:col>
      <xdr:colOff>857250</xdr:colOff>
      <xdr:row>106</xdr:row>
      <xdr:rowOff>28575</xdr:rowOff>
    </xdr:to>
    <xdr:pic>
      <xdr:nvPicPr>
        <xdr:cNvPr id="17" name="Grafik 1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421100"/>
          <a:ext cx="411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1200150</xdr:colOff>
      <xdr:row>83</xdr:row>
      <xdr:rowOff>19050</xdr:rowOff>
    </xdr:from>
    <xdr:to>
      <xdr:col>2</xdr:col>
      <xdr:colOff>142875</xdr:colOff>
      <xdr:row>84</xdr:row>
      <xdr:rowOff>47625</xdr:rowOff>
    </xdr:to>
    <xdr:pic>
      <xdr:nvPicPr>
        <xdr:cNvPr id="21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3106400"/>
          <a:ext cx="533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66</xdr:row>
      <xdr:rowOff>104775</xdr:rowOff>
    </xdr:from>
    <xdr:to>
      <xdr:col>2</xdr:col>
      <xdr:colOff>800100</xdr:colOff>
      <xdr:row>69</xdr:row>
      <xdr:rowOff>85725</xdr:rowOff>
    </xdr:to>
    <xdr:pic>
      <xdr:nvPicPr>
        <xdr:cNvPr id="23" name="Grafik 2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267950"/>
          <a:ext cx="23526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</xdr:colOff>
      <xdr:row>60</xdr:row>
      <xdr:rowOff>161925</xdr:rowOff>
    </xdr:from>
    <xdr:to>
      <xdr:col>5</xdr:col>
      <xdr:colOff>781050</xdr:colOff>
      <xdr:row>62</xdr:row>
      <xdr:rowOff>161925</xdr:rowOff>
    </xdr:to>
    <xdr:pic>
      <xdr:nvPicPr>
        <xdr:cNvPr id="24" name="Grafik 23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22020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1619250</xdr:colOff>
      <xdr:row>60</xdr:row>
      <xdr:rowOff>161925</xdr:rowOff>
    </xdr:from>
    <xdr:to>
      <xdr:col>6</xdr:col>
      <xdr:colOff>819150</xdr:colOff>
      <xdr:row>62</xdr:row>
      <xdr:rowOff>171450</xdr:rowOff>
    </xdr:to>
    <xdr:pic>
      <xdr:nvPicPr>
        <xdr:cNvPr id="25" name="Grafik 2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9220200"/>
          <a:ext cx="10953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85</xdr:row>
      <xdr:rowOff>104775</xdr:rowOff>
    </xdr:from>
    <xdr:to>
      <xdr:col>3</xdr:col>
      <xdr:colOff>1771650</xdr:colOff>
      <xdr:row>89</xdr:row>
      <xdr:rowOff>104775</xdr:rowOff>
    </xdr:to>
    <xdr:pic>
      <xdr:nvPicPr>
        <xdr:cNvPr id="16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516100"/>
          <a:ext cx="50673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142</xdr:row>
      <xdr:rowOff>0</xdr:rowOff>
    </xdr:from>
    <xdr:to>
      <xdr:col>3</xdr:col>
      <xdr:colOff>990600</xdr:colOff>
      <xdr:row>144</xdr:row>
      <xdr:rowOff>85725</xdr:rowOff>
    </xdr:to>
    <xdr:pic>
      <xdr:nvPicPr>
        <xdr:cNvPr id="35" name="Grafik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4545925"/>
          <a:ext cx="26003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99</xdr:row>
      <xdr:rowOff>142875</xdr:rowOff>
    </xdr:from>
    <xdr:to>
      <xdr:col>2</xdr:col>
      <xdr:colOff>1552575</xdr:colOff>
      <xdr:row>102</xdr:row>
      <xdr:rowOff>85725</xdr:rowOff>
    </xdr:to>
    <xdr:pic>
      <xdr:nvPicPr>
        <xdr:cNvPr id="34" name="Grafik 3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7411700"/>
          <a:ext cx="34099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457200</xdr:colOff>
      <xdr:row>120</xdr:row>
      <xdr:rowOff>95250</xdr:rowOff>
    </xdr:from>
    <xdr:to>
      <xdr:col>2</xdr:col>
      <xdr:colOff>914400</xdr:colOff>
      <xdr:row>122</xdr:row>
      <xdr:rowOff>142875</xdr:rowOff>
    </xdr:to>
    <xdr:pic>
      <xdr:nvPicPr>
        <xdr:cNvPr id="32" name="Grafik 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945475"/>
          <a:ext cx="23145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116</xdr:row>
      <xdr:rowOff>142875</xdr:rowOff>
    </xdr:from>
    <xdr:to>
      <xdr:col>2</xdr:col>
      <xdr:colOff>1428750</xdr:colOff>
      <xdr:row>120</xdr:row>
      <xdr:rowOff>28575</xdr:rowOff>
    </xdr:to>
    <xdr:pic>
      <xdr:nvPicPr>
        <xdr:cNvPr id="29" name="Grafik 2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316825"/>
          <a:ext cx="32480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133</xdr:row>
      <xdr:rowOff>28575</xdr:rowOff>
    </xdr:from>
    <xdr:to>
      <xdr:col>7</xdr:col>
      <xdr:colOff>942975</xdr:colOff>
      <xdr:row>134</xdr:row>
      <xdr:rowOff>57150</xdr:rowOff>
    </xdr:to>
    <xdr:pic>
      <xdr:nvPicPr>
        <xdr:cNvPr id="27" name="Grafik 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3088600"/>
          <a:ext cx="8763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95</xdr:row>
      <xdr:rowOff>104775</xdr:rowOff>
    </xdr:from>
    <xdr:to>
      <xdr:col>1</xdr:col>
      <xdr:colOff>1428750</xdr:colOff>
      <xdr:row>97</xdr:row>
      <xdr:rowOff>9525</xdr:rowOff>
    </xdr:to>
    <xdr:pic>
      <xdr:nvPicPr>
        <xdr:cNvPr id="17" name="Grafik 1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858625"/>
          <a:ext cx="14287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1</xdr:col>
      <xdr:colOff>752475</xdr:colOff>
      <xdr:row>137</xdr:row>
      <xdr:rowOff>28575</xdr:rowOff>
    </xdr:to>
    <xdr:pic>
      <xdr:nvPicPr>
        <xdr:cNvPr id="28" name="Grafik 2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801475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1</xdr:col>
      <xdr:colOff>238125</xdr:colOff>
      <xdr:row>138</xdr:row>
      <xdr:rowOff>180975</xdr:rowOff>
    </xdr:to>
    <xdr:pic>
      <xdr:nvPicPr>
        <xdr:cNvPr id="30" name="Grafik 2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19421475"/>
          <a:ext cx="238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1</xdr:col>
      <xdr:colOff>1685925</xdr:colOff>
      <xdr:row>144</xdr:row>
      <xdr:rowOff>57150</xdr:rowOff>
    </xdr:to>
    <xdr:pic>
      <xdr:nvPicPr>
        <xdr:cNvPr id="31" name="Grafik 3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5887700"/>
          <a:ext cx="16859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89</xdr:row>
      <xdr:rowOff>0</xdr:rowOff>
    </xdr:from>
    <xdr:to>
      <xdr:col>2</xdr:col>
      <xdr:colOff>1819275</xdr:colOff>
      <xdr:row>90</xdr:row>
      <xdr:rowOff>57150</xdr:rowOff>
    </xdr:to>
    <xdr:pic>
      <xdr:nvPicPr>
        <xdr:cNvPr id="13" name="Grafi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4058900"/>
          <a:ext cx="3648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117</xdr:row>
      <xdr:rowOff>171450</xdr:rowOff>
    </xdr:from>
    <xdr:to>
      <xdr:col>9</xdr:col>
      <xdr:colOff>1333500</xdr:colOff>
      <xdr:row>120</xdr:row>
      <xdr:rowOff>66675</xdr:rowOff>
    </xdr:to>
    <xdr:pic>
      <xdr:nvPicPr>
        <xdr:cNvPr id="21" name="Grafik 2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20507325"/>
          <a:ext cx="47339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125</xdr:row>
      <xdr:rowOff>57150</xdr:rowOff>
    </xdr:from>
    <xdr:to>
      <xdr:col>7</xdr:col>
      <xdr:colOff>1590675</xdr:colOff>
      <xdr:row>127</xdr:row>
      <xdr:rowOff>0</xdr:rowOff>
    </xdr:to>
    <xdr:pic>
      <xdr:nvPicPr>
        <xdr:cNvPr id="23" name="Grafik 2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1755100"/>
          <a:ext cx="15240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1323975</xdr:colOff>
      <xdr:row>135</xdr:row>
      <xdr:rowOff>0</xdr:rowOff>
    </xdr:from>
    <xdr:to>
      <xdr:col>2</xdr:col>
      <xdr:colOff>561975</xdr:colOff>
      <xdr:row>137</xdr:row>
      <xdr:rowOff>57150</xdr:rowOff>
    </xdr:to>
    <xdr:pic>
      <xdr:nvPicPr>
        <xdr:cNvPr id="33" name="Grafik 32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3383875"/>
          <a:ext cx="10953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</xdr:colOff>
      <xdr:row>122</xdr:row>
      <xdr:rowOff>85725</xdr:rowOff>
    </xdr:from>
    <xdr:to>
      <xdr:col>8</xdr:col>
      <xdr:colOff>371475</xdr:colOff>
      <xdr:row>124</xdr:row>
      <xdr:rowOff>95250</xdr:rowOff>
    </xdr:to>
    <xdr:pic>
      <xdr:nvPicPr>
        <xdr:cNvPr id="16" name="Grafik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21259800"/>
          <a:ext cx="23145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212</xdr:row>
      <xdr:rowOff>28575</xdr:rowOff>
    </xdr:from>
    <xdr:to>
      <xdr:col>1</xdr:col>
      <xdr:colOff>1524000</xdr:colOff>
      <xdr:row>214</xdr:row>
      <xdr:rowOff>47625</xdr:rowOff>
    </xdr:to>
    <xdr:pic>
      <xdr:nvPicPr>
        <xdr:cNvPr id="18" name="Grafik 17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6090225"/>
          <a:ext cx="15240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68</xdr:row>
      <xdr:rowOff>0</xdr:rowOff>
    </xdr:from>
    <xdr:to>
      <xdr:col>1</xdr:col>
      <xdr:colOff>781050</xdr:colOff>
      <xdr:row>70</xdr:row>
      <xdr:rowOff>28575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801475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1095375</xdr:colOff>
      <xdr:row>70</xdr:row>
      <xdr:rowOff>38100</xdr:rowOff>
    </xdr:to>
    <xdr:pic>
      <xdr:nvPicPr>
        <xdr:cNvPr id="4" name="Grafi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8686800"/>
          <a:ext cx="10953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638175</xdr:colOff>
      <xdr:row>29</xdr:row>
      <xdr:rowOff>114300</xdr:rowOff>
    </xdr:from>
    <xdr:to>
      <xdr:col>4</xdr:col>
      <xdr:colOff>1295400</xdr:colOff>
      <xdr:row>32</xdr:row>
      <xdr:rowOff>19050</xdr:rowOff>
    </xdr:to>
    <xdr:pic>
      <xdr:nvPicPr>
        <xdr:cNvPr id="7" name="Grafik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353050"/>
          <a:ext cx="6572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152400</xdr:colOff>
      <xdr:row>29</xdr:row>
      <xdr:rowOff>114300</xdr:rowOff>
    </xdr:from>
    <xdr:to>
      <xdr:col>5</xdr:col>
      <xdr:colOff>1514475</xdr:colOff>
      <xdr:row>32</xdr:row>
      <xdr:rowOff>19050</xdr:rowOff>
    </xdr:to>
    <xdr:pic>
      <xdr:nvPicPr>
        <xdr:cNvPr id="8" name="Grafik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53050"/>
          <a:ext cx="13620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60</xdr:row>
      <xdr:rowOff>0</xdr:rowOff>
    </xdr:from>
    <xdr:to>
      <xdr:col>1</xdr:col>
      <xdr:colOff>914400</xdr:colOff>
      <xdr:row>61</xdr:row>
      <xdr:rowOff>152400</xdr:rowOff>
    </xdr:to>
    <xdr:pic>
      <xdr:nvPicPr>
        <xdr:cNvPr id="9" name="Grafik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439400"/>
          <a:ext cx="8858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75</xdr:row>
      <xdr:rowOff>0</xdr:rowOff>
    </xdr:from>
    <xdr:to>
      <xdr:col>2</xdr:col>
      <xdr:colOff>257175</xdr:colOff>
      <xdr:row>77</xdr:row>
      <xdr:rowOff>57150</xdr:rowOff>
    </xdr:to>
    <xdr:pic>
      <xdr:nvPicPr>
        <xdr:cNvPr id="14" name="Grafik 1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963525"/>
          <a:ext cx="16859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1000125</xdr:colOff>
      <xdr:row>75</xdr:row>
      <xdr:rowOff>0</xdr:rowOff>
    </xdr:from>
    <xdr:to>
      <xdr:col>3</xdr:col>
      <xdr:colOff>1838325</xdr:colOff>
      <xdr:row>77</xdr:row>
      <xdr:rowOff>85725</xdr:rowOff>
    </xdr:to>
    <xdr:pic>
      <xdr:nvPicPr>
        <xdr:cNvPr id="15" name="Grafik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1925300"/>
          <a:ext cx="26003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71</xdr:row>
      <xdr:rowOff>0</xdr:rowOff>
    </xdr:from>
    <xdr:to>
      <xdr:col>1</xdr:col>
      <xdr:colOff>266700</xdr:colOff>
      <xdr:row>71</xdr:row>
      <xdr:rowOff>180975</xdr:rowOff>
    </xdr:to>
    <xdr:pic>
      <xdr:nvPicPr>
        <xdr:cNvPr id="20" name="Grafik 1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287250"/>
          <a:ext cx="2381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krebsregister-bayern.de/Files/Epidemiologische_Ma&#223;zahlen_und_KI.xlsx" TargetMode="External"/><Relationship Id="rId1" Type="http://schemas.openxmlformats.org/officeDocument/2006/relationships/hyperlink" Target="http://www.krebsregister-bayern.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24"/>
  <sheetViews>
    <sheetView tabSelected="1" workbookViewId="0">
      <selection activeCell="H28" sqref="H28"/>
    </sheetView>
  </sheetViews>
  <sheetFormatPr baseColWidth="10" defaultRowHeight="12.75" x14ac:dyDescent="0.2"/>
  <cols>
    <col min="1" max="1" width="5" style="20" customWidth="1"/>
    <col min="2" max="16384" width="11.42578125" style="20"/>
  </cols>
  <sheetData>
    <row r="4" spans="2:2" x14ac:dyDescent="0.2">
      <c r="B4" s="87" t="s">
        <v>44</v>
      </c>
    </row>
    <row r="5" spans="2:2" x14ac:dyDescent="0.2">
      <c r="B5" s="87" t="s">
        <v>98</v>
      </c>
    </row>
    <row r="6" spans="2:2" x14ac:dyDescent="0.2">
      <c r="B6" s="87" t="s">
        <v>99</v>
      </c>
    </row>
    <row r="7" spans="2:2" x14ac:dyDescent="0.2">
      <c r="B7" s="87"/>
    </row>
    <row r="8" spans="2:2" x14ac:dyDescent="0.2">
      <c r="B8" s="87" t="s">
        <v>201</v>
      </c>
    </row>
    <row r="9" spans="2:2" x14ac:dyDescent="0.2">
      <c r="B9" s="87" t="s">
        <v>202</v>
      </c>
    </row>
    <row r="10" spans="2:2" x14ac:dyDescent="0.2">
      <c r="B10" s="87" t="s">
        <v>203</v>
      </c>
    </row>
    <row r="11" spans="2:2" x14ac:dyDescent="0.2">
      <c r="B11" s="87" t="s">
        <v>204</v>
      </c>
    </row>
    <row r="12" spans="2:2" x14ac:dyDescent="0.2">
      <c r="B12" s="87"/>
    </row>
    <row r="13" spans="2:2" x14ac:dyDescent="0.2">
      <c r="B13" s="20" t="s">
        <v>205</v>
      </c>
    </row>
    <row r="14" spans="2:2" x14ac:dyDescent="0.2">
      <c r="B14" s="20" t="s">
        <v>206</v>
      </c>
    </row>
    <row r="15" spans="2:2" x14ac:dyDescent="0.2">
      <c r="B15" s="130" t="s">
        <v>198</v>
      </c>
    </row>
    <row r="16" spans="2:2" x14ac:dyDescent="0.2">
      <c r="B16" s="20" t="s">
        <v>199</v>
      </c>
    </row>
    <row r="17" spans="2:2" x14ac:dyDescent="0.2">
      <c r="B17" s="20" t="s">
        <v>200</v>
      </c>
    </row>
    <row r="20" spans="2:2" x14ac:dyDescent="0.2">
      <c r="B20" s="87" t="s">
        <v>42</v>
      </c>
    </row>
    <row r="21" spans="2:2" x14ac:dyDescent="0.2">
      <c r="B21" s="20" t="s">
        <v>43</v>
      </c>
    </row>
    <row r="22" spans="2:2" x14ac:dyDescent="0.2">
      <c r="B22" s="130" t="s">
        <v>107</v>
      </c>
    </row>
    <row r="24" spans="2:2" x14ac:dyDescent="0.2">
      <c r="B24" s="123" t="s">
        <v>211</v>
      </c>
    </row>
  </sheetData>
  <sheetProtection sheet="1" objects="1" scenarios="1"/>
  <hyperlinks>
    <hyperlink ref="B22" r:id="rId1"/>
    <hyperlink ref="B15" r:id="rId2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4"/>
  <sheetViews>
    <sheetView workbookViewId="0">
      <selection activeCell="B18" sqref="B18"/>
    </sheetView>
  </sheetViews>
  <sheetFormatPr baseColWidth="10" defaultRowHeight="12.75" x14ac:dyDescent="0.2"/>
  <cols>
    <col min="1" max="1" width="5.140625" style="20" customWidth="1"/>
    <col min="2" max="2" width="23.85546875" style="20" customWidth="1"/>
    <col min="3" max="3" width="26.42578125" style="20" customWidth="1"/>
    <col min="4" max="4" width="30.42578125" style="20" customWidth="1"/>
    <col min="5" max="5" width="27.85546875" style="20" customWidth="1"/>
    <col min="6" max="6" width="28.42578125" style="20" customWidth="1"/>
    <col min="7" max="7" width="24.7109375" style="21" customWidth="1"/>
    <col min="8" max="8" width="24.7109375" style="22" customWidth="1"/>
    <col min="9" max="9" width="23.85546875" style="20" customWidth="1"/>
    <col min="10" max="10" width="23.28515625" style="20" customWidth="1"/>
    <col min="11" max="11" width="27.28515625" style="31" customWidth="1"/>
    <col min="12" max="16384" width="11.42578125" style="20"/>
  </cols>
  <sheetData>
    <row r="3" spans="2:11" ht="18" x14ac:dyDescent="0.25">
      <c r="B3" s="19" t="s">
        <v>54</v>
      </c>
    </row>
    <row r="5" spans="2:11" ht="13.5" thickBot="1" x14ac:dyDescent="0.25">
      <c r="C5" s="21"/>
      <c r="H5" s="23"/>
    </row>
    <row r="6" spans="2:11" s="27" customFormat="1" x14ac:dyDescent="0.2">
      <c r="B6" s="25" t="s">
        <v>33</v>
      </c>
      <c r="C6" s="25" t="s">
        <v>129</v>
      </c>
      <c r="D6" s="25" t="s">
        <v>126</v>
      </c>
      <c r="E6" s="25" t="s">
        <v>130</v>
      </c>
      <c r="F6" s="25" t="s">
        <v>127</v>
      </c>
      <c r="G6" s="100"/>
      <c r="H6" s="100"/>
      <c r="I6" s="100"/>
      <c r="J6" s="100"/>
      <c r="K6" s="100"/>
    </row>
    <row r="7" spans="2:11" s="27" customFormat="1" ht="12.75" customHeight="1" x14ac:dyDescent="0.2">
      <c r="B7" s="70" t="s">
        <v>122</v>
      </c>
      <c r="C7" s="70" t="s">
        <v>123</v>
      </c>
      <c r="D7" s="129" t="s">
        <v>143</v>
      </c>
      <c r="E7" s="70" t="s">
        <v>124</v>
      </c>
      <c r="F7" s="70" t="s">
        <v>128</v>
      </c>
      <c r="G7" s="100"/>
      <c r="H7" s="100"/>
      <c r="I7" s="100"/>
      <c r="J7" s="100"/>
      <c r="K7" s="100"/>
    </row>
    <row r="8" spans="2:11" s="27" customFormat="1" x14ac:dyDescent="0.2">
      <c r="B8" s="70"/>
      <c r="C8" s="70" t="s">
        <v>124</v>
      </c>
      <c r="D8" s="129" t="s">
        <v>196</v>
      </c>
      <c r="E8" s="70" t="str">
        <f>"(pro "&amp;TEXT(D11,"###.##0")&amp;")"</f>
        <v>(pro 100.000)</v>
      </c>
      <c r="F8" s="70"/>
      <c r="G8" s="100"/>
      <c r="H8" s="100"/>
      <c r="I8" s="100"/>
      <c r="J8" s="100"/>
      <c r="K8" s="100"/>
    </row>
    <row r="9" spans="2:11" s="27" customFormat="1" x14ac:dyDescent="0.2">
      <c r="B9" s="70"/>
      <c r="C9" s="70"/>
      <c r="D9" s="129" t="s">
        <v>195</v>
      </c>
      <c r="E9" s="70"/>
      <c r="F9" s="70"/>
      <c r="G9" s="100"/>
      <c r="H9" s="100"/>
      <c r="I9" s="100"/>
      <c r="J9" s="100"/>
      <c r="K9" s="100"/>
    </row>
    <row r="10" spans="2:11" ht="13.5" thickBot="1" x14ac:dyDescent="0.25">
      <c r="B10" s="29" t="s">
        <v>2</v>
      </c>
      <c r="C10" s="29" t="s">
        <v>55</v>
      </c>
      <c r="D10" s="30" t="s">
        <v>125</v>
      </c>
      <c r="E10" s="29" t="str">
        <f>"R = E / N ∙ "&amp;TEXT(D11,"###.##0")</f>
        <v>R = E / N ∙ 100.000</v>
      </c>
      <c r="F10" s="29" t="str">
        <f>"R ("&amp;TEXT(D11,"###.##0")&amp;" - R) / N"</f>
        <v>R (100.000 - R) / N</v>
      </c>
      <c r="G10" s="90"/>
      <c r="H10" s="90"/>
      <c r="I10" s="90"/>
      <c r="J10" s="90"/>
      <c r="K10" s="90"/>
    </row>
    <row r="11" spans="2:11" ht="13.5" thickBot="1" x14ac:dyDescent="0.25">
      <c r="B11" s="14">
        <v>50</v>
      </c>
      <c r="C11" s="15">
        <v>239755</v>
      </c>
      <c r="D11" s="17">
        <v>100000</v>
      </c>
      <c r="E11" s="111">
        <f>B11/C11*D11</f>
        <v>20.85462242706096</v>
      </c>
      <c r="F11" s="111">
        <f>E11*(D11-E11)/C11</f>
        <v>8.6964915327293308</v>
      </c>
      <c r="G11" s="112"/>
      <c r="H11" s="113"/>
      <c r="I11" s="113"/>
      <c r="J11" s="113"/>
      <c r="K11" s="114"/>
    </row>
    <row r="12" spans="2:11" x14ac:dyDescent="0.2">
      <c r="B12" s="115"/>
      <c r="C12" s="116"/>
      <c r="D12" s="117"/>
      <c r="E12" s="112"/>
      <c r="F12" s="112"/>
      <c r="G12" s="112"/>
      <c r="H12" s="113"/>
      <c r="I12" s="113"/>
      <c r="J12" s="113"/>
      <c r="K12" s="114"/>
    </row>
    <row r="13" spans="2:11" ht="13.5" thickBot="1" x14ac:dyDescent="0.25">
      <c r="B13" s="31"/>
      <c r="C13" s="40"/>
      <c r="D13" s="31"/>
      <c r="E13" s="41"/>
      <c r="F13" s="31"/>
      <c r="G13" s="42"/>
      <c r="H13" s="113"/>
      <c r="I13" s="31"/>
      <c r="J13" s="31"/>
    </row>
    <row r="14" spans="2:11" x14ac:dyDescent="0.2">
      <c r="B14" s="52" t="s">
        <v>38</v>
      </c>
      <c r="C14" s="40"/>
      <c r="D14" s="31"/>
      <c r="E14" s="41"/>
      <c r="F14" s="31"/>
      <c r="G14" s="42"/>
      <c r="H14" s="113"/>
      <c r="I14" s="31"/>
      <c r="J14" s="31"/>
    </row>
    <row r="15" spans="2:11" x14ac:dyDescent="0.2">
      <c r="B15" s="92"/>
      <c r="C15" s="40"/>
      <c r="D15" s="31"/>
      <c r="E15" s="41"/>
      <c r="F15" s="31"/>
      <c r="G15" s="42"/>
      <c r="H15" s="113"/>
      <c r="I15" s="31"/>
      <c r="J15" s="31"/>
    </row>
    <row r="16" spans="2:11" ht="13.5" thickBot="1" x14ac:dyDescent="0.25">
      <c r="B16" s="28" t="s">
        <v>41</v>
      </c>
      <c r="C16" s="40"/>
      <c r="D16" s="31"/>
      <c r="E16" s="41"/>
      <c r="F16" s="31"/>
      <c r="G16" s="42"/>
      <c r="H16" s="113"/>
      <c r="I16" s="31"/>
      <c r="J16" s="31"/>
    </row>
    <row r="17" spans="1:10" ht="13.5" thickBot="1" x14ac:dyDescent="0.25">
      <c r="B17" s="10">
        <v>95</v>
      </c>
      <c r="C17" s="40"/>
      <c r="D17" s="31"/>
      <c r="E17" s="41"/>
      <c r="F17" s="31"/>
      <c r="G17" s="42"/>
      <c r="H17" s="113"/>
      <c r="I17" s="31"/>
      <c r="J17" s="31"/>
    </row>
    <row r="18" spans="1:10" x14ac:dyDescent="0.2">
      <c r="B18" s="93"/>
      <c r="C18" s="40"/>
      <c r="D18" s="31"/>
      <c r="E18" s="41"/>
      <c r="F18" s="31"/>
      <c r="G18" s="42"/>
      <c r="H18" s="113"/>
      <c r="I18" s="31"/>
      <c r="J18" s="31"/>
    </row>
    <row r="19" spans="1:10" x14ac:dyDescent="0.2">
      <c r="B19" s="44" t="s">
        <v>49</v>
      </c>
      <c r="C19" s="31"/>
      <c r="G19" s="20"/>
      <c r="H19" s="20"/>
    </row>
    <row r="20" spans="1:10" ht="13.5" thickBot="1" x14ac:dyDescent="0.25">
      <c r="G20" s="20"/>
      <c r="H20" s="20"/>
    </row>
    <row r="21" spans="1:10" x14ac:dyDescent="0.2">
      <c r="B21" s="131" t="s">
        <v>56</v>
      </c>
      <c r="C21" s="132"/>
      <c r="D21" s="133" t="s">
        <v>114</v>
      </c>
      <c r="E21" s="134"/>
      <c r="G21" s="20"/>
      <c r="H21" s="20"/>
    </row>
    <row r="22" spans="1:10" ht="15" x14ac:dyDescent="0.25">
      <c r="B22" s="136" t="s">
        <v>113</v>
      </c>
      <c r="C22" s="137"/>
      <c r="D22" s="138" t="s">
        <v>115</v>
      </c>
      <c r="E22" s="139"/>
      <c r="G22" s="20"/>
      <c r="H22" s="20"/>
    </row>
    <row r="23" spans="1:10" ht="13.5" thickBot="1" x14ac:dyDescent="0.25">
      <c r="A23" s="94"/>
      <c r="B23" s="53" t="s">
        <v>0</v>
      </c>
      <c r="C23" s="54" t="s">
        <v>1</v>
      </c>
      <c r="D23" s="53" t="s">
        <v>0</v>
      </c>
      <c r="E23" s="54" t="s">
        <v>1</v>
      </c>
      <c r="G23" s="20"/>
      <c r="H23" s="20"/>
    </row>
    <row r="24" spans="1:10" ht="13.5" thickBot="1" x14ac:dyDescent="0.25">
      <c r="B24" s="50">
        <f>IF(B11=0, 0,_xlfn.BETA.INV((1-B17/100)/2,B11,C11-B11+1)*D11)</f>
        <v>15.47908654110396</v>
      </c>
      <c r="C24" s="50">
        <f>IF(B11=C11,1,_xlfn.BETA.INV((1+B17/100)/2,B11+1,C11-B11)*D11)</f>
        <v>27.493307014703205</v>
      </c>
      <c r="D24" s="50">
        <f>E11-_xlfn.NORM.S.INV((1+B17/100)/2)*SQRT(F11)</f>
        <v>15.074725013828193</v>
      </c>
      <c r="E24" s="50">
        <f>E11+_xlfn.NORM.S.INV((1+B17/100)/2)*SQRT(F11)</f>
        <v>26.634519840293727</v>
      </c>
      <c r="G24" s="20"/>
      <c r="H24" s="20"/>
    </row>
    <row r="25" spans="1:10" ht="13.5" thickBot="1" x14ac:dyDescent="0.25">
      <c r="G25" s="20"/>
      <c r="H25" s="20"/>
    </row>
    <row r="26" spans="1:10" x14ac:dyDescent="0.2">
      <c r="A26" s="94"/>
      <c r="B26" s="135" t="s">
        <v>112</v>
      </c>
      <c r="C26" s="132"/>
      <c r="D26" s="133" t="s">
        <v>116</v>
      </c>
      <c r="E26" s="134"/>
      <c r="G26" s="20"/>
      <c r="H26" s="20"/>
    </row>
    <row r="27" spans="1:10" ht="15" x14ac:dyDescent="0.25">
      <c r="A27" s="94"/>
      <c r="B27" s="118"/>
      <c r="C27" s="119"/>
      <c r="D27" s="138"/>
      <c r="E27" s="139"/>
      <c r="G27" s="20"/>
      <c r="H27" s="20"/>
    </row>
    <row r="28" spans="1:10" ht="13.5" thickBot="1" x14ac:dyDescent="0.25">
      <c r="A28" s="94"/>
      <c r="B28" s="53" t="s">
        <v>0</v>
      </c>
      <c r="C28" s="54" t="s">
        <v>1</v>
      </c>
      <c r="D28" s="53" t="s">
        <v>0</v>
      </c>
      <c r="E28" s="54" t="s">
        <v>1</v>
      </c>
      <c r="G28" s="20"/>
      <c r="H28" s="20"/>
    </row>
    <row r="29" spans="1:10" ht="13.5" thickBot="1" x14ac:dyDescent="0.25">
      <c r="B29" s="50">
        <f>1/(1+POWER(_xlfn.NORM.S.INV((1+B17/100)/2),2)/C11)*(B11/C11+POWER(_xlfn.NORM.S.INV((1+B17/100)/2),2)/(2*C11)-_xlfn.NORM.S.INV((1+B17/100)/2)*SQRT(B11/C11*(1-B11/C11)/C11+POWER(_xlfn.NORM.S.INV((1+B17/100)/2),2)/(4*POWER(C11,2))))*D11</f>
        <v>15.82033771334723</v>
      </c>
      <c r="C29" s="50">
        <f>1/(1+POWER(_xlfn.NORM.S.INV((1+B17/100)/2),2)/C11)*(B11/C11+POWER(_xlfn.NORM.S.INV((1+B17/100)/2),2)/(2*C11)+_xlfn.NORM.S.INV((1+B17/100)/2)*SQRT(B11/C11*(1-B11/C11)/C11+POWER(_xlfn.NORM.S.INV((1+B17/100)/2),2)/(4*POWER(C11,2))))*D11</f>
        <v>27.490456661895532</v>
      </c>
      <c r="D29" s="50">
        <f>(B11+POWER(_xlfn.NORM.S.INV((1+B17/100)/2),2)/2)/(C11+POWER(_xlfn.NORM.S.INV((1+B17/100)/2),2))*D11-_xlfn.NORM.S.INV((1+B17/100)/2)*SQRT((B11+POWER(_xlfn.NORM.S.INV((1+B17/100)/2),2)/2)/(C11+POWER(_xlfn.NORM.S.INV((1+B17/100)/2),2))*D11*(D11-(B11+POWER(_xlfn.NORM.S.INV((1+B17/100)/2),2)/2)/(C11+POWER(_xlfn.NORM.S.INV((1+B17/100)/2),2))*D11)/(C11+POWER(_xlfn.NORM.S.INV((1+B17/100)/2),2)))</f>
        <v>15.765647701318738</v>
      </c>
      <c r="E29" s="50">
        <f>(B11+POWER(_xlfn.NORM.S.INV((1+B17/100)/2),2)/2)/(C11+POWER(_xlfn.NORM.S.INV((1+B17/100)/2),2))*D11+_xlfn.NORM.S.INV((1+B17/100)/2)*SQRT((B11+POWER(_xlfn.NORM.S.INV((1+B17/100)/2),2)/2)/(C11+POWER(_xlfn.NORM.S.INV((1+B17/100)/2),2))*D11*(D11-(B11+POWER(_xlfn.NORM.S.INV((1+B17/100)/2),2)/2)/(C11+POWER(_xlfn.NORM.S.INV((1+B17/100)/2),2))*D11)/(C11+POWER(_xlfn.NORM.S.INV((1+B17/100)/2),2)))</f>
        <v>27.545146673924027</v>
      </c>
      <c r="G29" s="20"/>
      <c r="H29" s="20"/>
    </row>
    <row r="30" spans="1:10" x14ac:dyDescent="0.2">
      <c r="C30" s="120"/>
      <c r="D30" s="51"/>
    </row>
    <row r="31" spans="1:10" x14ac:dyDescent="0.2">
      <c r="B31" s="44" t="s">
        <v>50</v>
      </c>
      <c r="G31" s="121"/>
      <c r="H31" s="121"/>
    </row>
    <row r="32" spans="1:10" ht="13.5" thickBot="1" x14ac:dyDescent="0.25">
      <c r="C32" s="68"/>
    </row>
    <row r="33" spans="1:8" x14ac:dyDescent="0.2">
      <c r="B33" s="131" t="s">
        <v>39</v>
      </c>
      <c r="C33" s="132"/>
      <c r="D33" s="133" t="s">
        <v>40</v>
      </c>
      <c r="E33" s="134"/>
      <c r="G33" s="20"/>
      <c r="H33" s="20"/>
    </row>
    <row r="34" spans="1:8" x14ac:dyDescent="0.2">
      <c r="A34" s="94"/>
      <c r="B34" s="118"/>
      <c r="C34" s="119"/>
      <c r="D34" s="95"/>
      <c r="E34" s="96"/>
      <c r="G34" s="20"/>
      <c r="H34" s="20"/>
    </row>
    <row r="35" spans="1:8" ht="13.5" thickBot="1" x14ac:dyDescent="0.25">
      <c r="A35" s="94"/>
      <c r="B35" s="53" t="s">
        <v>0</v>
      </c>
      <c r="C35" s="54" t="s">
        <v>1</v>
      </c>
      <c r="D35" s="53" t="s">
        <v>0</v>
      </c>
      <c r="E35" s="54" t="s">
        <v>1</v>
      </c>
      <c r="G35" s="20"/>
      <c r="H35" s="20"/>
    </row>
    <row r="36" spans="1:8" ht="13.5" thickBot="1" x14ac:dyDescent="0.25">
      <c r="B36" s="50">
        <f>IF(B11=0, 0, _xlfn.CHISQ.INV.RT((1+B17/100)/2,2*B11)/2)/C11*D11</f>
        <v>15.478702732982363</v>
      </c>
      <c r="C36" s="50">
        <f>_xlfn.CHISQ.INV.RT((1-B17/100)/2,2*(B11+1))/2/C11*D11</f>
        <v>27.494219792845534</v>
      </c>
      <c r="D36" s="50">
        <f>IF(B11=0,0,B11*POWER(1-(1/(9*B11))-(_xlfn.NORM.S.INV((1+B17/100)/2)/(3*SQRT(B11))),3)/C11*D11)</f>
        <v>15.477508460317484</v>
      </c>
      <c r="E36" s="50">
        <f>(B11+1)*POWER(1-(1/(9*(B11+1)))+(_xlfn.NORM.S.INV((1+B17/100)/2)/(3*SQRT(B11+1))),3)/C11*D11</f>
        <v>27.494799563703662</v>
      </c>
      <c r="G36" s="20"/>
      <c r="H36" s="20"/>
    </row>
    <row r="40" spans="1:8" x14ac:dyDescent="0.2">
      <c r="B40" s="44" t="s">
        <v>77</v>
      </c>
      <c r="F40" s="31"/>
      <c r="G40" s="31"/>
      <c r="H40" s="31"/>
    </row>
    <row r="41" spans="1:8" x14ac:dyDescent="0.2">
      <c r="F41" s="99"/>
      <c r="G41" s="100"/>
      <c r="H41" s="100"/>
    </row>
    <row r="42" spans="1:8" x14ac:dyDescent="0.2">
      <c r="B42" s="20" t="s">
        <v>100</v>
      </c>
      <c r="F42" s="99"/>
      <c r="G42" s="100"/>
      <c r="H42" s="100"/>
    </row>
    <row r="43" spans="1:8" x14ac:dyDescent="0.2">
      <c r="F43" s="31"/>
      <c r="G43" s="101"/>
      <c r="H43" s="101"/>
    </row>
    <row r="44" spans="1:8" x14ac:dyDescent="0.2">
      <c r="B44" s="44" t="s">
        <v>61</v>
      </c>
      <c r="F44" s="31"/>
      <c r="G44" s="101"/>
      <c r="H44" s="101"/>
    </row>
    <row r="45" spans="1:8" x14ac:dyDescent="0.2">
      <c r="F45" s="31"/>
      <c r="G45" s="101"/>
      <c r="H45" s="101"/>
    </row>
    <row r="46" spans="1:8" x14ac:dyDescent="0.2">
      <c r="B46" s="20" t="s">
        <v>101</v>
      </c>
      <c r="F46" s="31"/>
      <c r="G46" s="101"/>
      <c r="H46" s="101"/>
    </row>
    <row r="47" spans="1:8" x14ac:dyDescent="0.2">
      <c r="B47" s="20" t="s">
        <v>117</v>
      </c>
    </row>
    <row r="49" spans="2:8" x14ac:dyDescent="0.2">
      <c r="B49" s="102" t="s">
        <v>49</v>
      </c>
      <c r="F49" s="103" t="s">
        <v>50</v>
      </c>
      <c r="G49" s="101"/>
      <c r="H49" s="101"/>
    </row>
    <row r="50" spans="2:8" x14ac:dyDescent="0.2">
      <c r="B50" s="57"/>
      <c r="G50" s="101"/>
      <c r="H50" s="101"/>
    </row>
    <row r="51" spans="2:8" ht="15.75" x14ac:dyDescent="0.3">
      <c r="B51" s="87" t="s">
        <v>103</v>
      </c>
      <c r="F51" s="20" t="s">
        <v>142</v>
      </c>
    </row>
    <row r="52" spans="2:8" x14ac:dyDescent="0.2">
      <c r="B52" s="87" t="s">
        <v>104</v>
      </c>
      <c r="F52" s="20" t="s">
        <v>165</v>
      </c>
    </row>
    <row r="53" spans="2:8" x14ac:dyDescent="0.2">
      <c r="B53" s="87" t="s">
        <v>105</v>
      </c>
    </row>
    <row r="54" spans="2:8" x14ac:dyDescent="0.2">
      <c r="B54" s="87"/>
      <c r="F54" s="62"/>
    </row>
    <row r="55" spans="2:8" x14ac:dyDescent="0.2">
      <c r="B55" s="87" t="s">
        <v>108</v>
      </c>
    </row>
    <row r="56" spans="2:8" x14ac:dyDescent="0.2">
      <c r="B56" s="87"/>
    </row>
    <row r="57" spans="2:8" ht="15.75" x14ac:dyDescent="0.3">
      <c r="B57" s="57" t="s">
        <v>102</v>
      </c>
      <c r="F57" s="20" t="s">
        <v>89</v>
      </c>
    </row>
    <row r="58" spans="2:8" x14ac:dyDescent="0.2">
      <c r="B58" s="57"/>
      <c r="F58" s="20" t="s">
        <v>106</v>
      </c>
    </row>
    <row r="59" spans="2:8" x14ac:dyDescent="0.2">
      <c r="B59" s="20" t="s">
        <v>93</v>
      </c>
    </row>
    <row r="60" spans="2:8" x14ac:dyDescent="0.2">
      <c r="F60" s="57" t="s">
        <v>69</v>
      </c>
    </row>
    <row r="61" spans="2:8" ht="15" x14ac:dyDescent="0.25">
      <c r="B61" s="55"/>
    </row>
    <row r="63" spans="2:8" ht="15.75" x14ac:dyDescent="0.3">
      <c r="B63" s="58" t="s">
        <v>82</v>
      </c>
    </row>
    <row r="64" spans="2:8" ht="15.75" x14ac:dyDescent="0.2">
      <c r="B64" s="59" t="s">
        <v>166</v>
      </c>
    </row>
    <row r="65" spans="2:6" ht="15" x14ac:dyDescent="0.25">
      <c r="F65" s="55" t="s">
        <v>169</v>
      </c>
    </row>
    <row r="66" spans="2:6" x14ac:dyDescent="0.2">
      <c r="B66" s="62" t="s">
        <v>137</v>
      </c>
    </row>
    <row r="67" spans="2:6" x14ac:dyDescent="0.2">
      <c r="F67" s="57" t="s">
        <v>70</v>
      </c>
    </row>
    <row r="68" spans="2:6" ht="15" x14ac:dyDescent="0.25">
      <c r="B68" s="55"/>
    </row>
    <row r="69" spans="2:6" ht="15" x14ac:dyDescent="0.25">
      <c r="F69" s="55"/>
    </row>
    <row r="72" spans="2:6" ht="15.75" x14ac:dyDescent="0.3">
      <c r="B72" s="57" t="s">
        <v>109</v>
      </c>
      <c r="F72" s="58" t="s">
        <v>82</v>
      </c>
    </row>
    <row r="73" spans="2:6" ht="15.75" x14ac:dyDescent="0.2">
      <c r="F73" s="59" t="s">
        <v>166</v>
      </c>
    </row>
    <row r="74" spans="2:6" x14ac:dyDescent="0.2">
      <c r="B74" s="87" t="s">
        <v>110</v>
      </c>
      <c r="F74" s="59"/>
    </row>
    <row r="75" spans="2:6" ht="15.75" x14ac:dyDescent="0.3">
      <c r="B75" s="20" t="s">
        <v>138</v>
      </c>
      <c r="F75" s="60" t="s">
        <v>66</v>
      </c>
    </row>
    <row r="79" spans="2:6" x14ac:dyDescent="0.2">
      <c r="B79" s="20" t="s">
        <v>111</v>
      </c>
    </row>
    <row r="82" spans="2:2" x14ac:dyDescent="0.2">
      <c r="B82" s="57" t="s">
        <v>118</v>
      </c>
    </row>
    <row r="84" spans="2:2" x14ac:dyDescent="0.2">
      <c r="B84" s="20" t="s">
        <v>119</v>
      </c>
    </row>
    <row r="85" spans="2:2" x14ac:dyDescent="0.2">
      <c r="B85" s="20" t="s">
        <v>139</v>
      </c>
    </row>
    <row r="92" spans="2:2" x14ac:dyDescent="0.2">
      <c r="B92" s="57" t="s">
        <v>121</v>
      </c>
    </row>
    <row r="93" spans="2:2" x14ac:dyDescent="0.2">
      <c r="B93" s="57"/>
    </row>
    <row r="94" spans="2:2" x14ac:dyDescent="0.2">
      <c r="B94" s="20" t="s">
        <v>120</v>
      </c>
    </row>
    <row r="101" spans="2:2" x14ac:dyDescent="0.2">
      <c r="B101" s="20" t="s">
        <v>140</v>
      </c>
    </row>
    <row r="102" spans="2:2" x14ac:dyDescent="0.2">
      <c r="B102" s="20" t="s">
        <v>141</v>
      </c>
    </row>
    <row r="107" spans="2:2" ht="15" x14ac:dyDescent="0.25">
      <c r="B107" s="55"/>
    </row>
    <row r="109" spans="2:2" x14ac:dyDescent="0.2">
      <c r="B109" s="44" t="s">
        <v>74</v>
      </c>
    </row>
    <row r="110" spans="2:2" x14ac:dyDescent="0.2">
      <c r="B110" s="87"/>
    </row>
    <row r="111" spans="2:2" x14ac:dyDescent="0.2">
      <c r="B111" s="87" t="s">
        <v>131</v>
      </c>
    </row>
    <row r="112" spans="2:2" x14ac:dyDescent="0.2">
      <c r="B112" s="87"/>
    </row>
    <row r="113" spans="2:2" x14ac:dyDescent="0.2">
      <c r="B113" s="87" t="s">
        <v>132</v>
      </c>
    </row>
    <row r="114" spans="2:2" x14ac:dyDescent="0.2">
      <c r="B114" s="87"/>
    </row>
    <row r="115" spans="2:2" x14ac:dyDescent="0.2">
      <c r="B115" s="87" t="s">
        <v>133</v>
      </c>
    </row>
    <row r="116" spans="2:2" x14ac:dyDescent="0.2">
      <c r="B116" s="87"/>
    </row>
    <row r="117" spans="2:2" x14ac:dyDescent="0.2">
      <c r="B117" s="87" t="s">
        <v>134</v>
      </c>
    </row>
    <row r="118" spans="2:2" x14ac:dyDescent="0.2">
      <c r="B118" s="87"/>
    </row>
    <row r="119" spans="2:2" x14ac:dyDescent="0.2">
      <c r="B119" s="87" t="s">
        <v>135</v>
      </c>
    </row>
    <row r="120" spans="2:2" x14ac:dyDescent="0.2">
      <c r="B120" s="87"/>
    </row>
    <row r="121" spans="2:2" x14ac:dyDescent="0.2">
      <c r="B121" s="122" t="s">
        <v>136</v>
      </c>
    </row>
    <row r="122" spans="2:2" x14ac:dyDescent="0.2">
      <c r="B122" s="122" t="s">
        <v>75</v>
      </c>
    </row>
    <row r="123" spans="2:2" x14ac:dyDescent="0.2">
      <c r="B123" s="122"/>
    </row>
    <row r="124" spans="2:2" x14ac:dyDescent="0.2">
      <c r="B124" s="61" t="s">
        <v>192</v>
      </c>
    </row>
  </sheetData>
  <sheetProtection sheet="1" objects="1" scenarios="1"/>
  <mergeCells count="9">
    <mergeCell ref="B21:C21"/>
    <mergeCell ref="D21:E21"/>
    <mergeCell ref="D26:E26"/>
    <mergeCell ref="B33:C33"/>
    <mergeCell ref="D33:E33"/>
    <mergeCell ref="B26:C26"/>
    <mergeCell ref="B22:C22"/>
    <mergeCell ref="D22:E22"/>
    <mergeCell ref="D27:E2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86"/>
  <sheetViews>
    <sheetView workbookViewId="0">
      <selection activeCell="H68" sqref="H68"/>
    </sheetView>
  </sheetViews>
  <sheetFormatPr baseColWidth="10" defaultRowHeight="12.75" x14ac:dyDescent="0.2"/>
  <cols>
    <col min="1" max="1" width="5.140625" style="20" customWidth="1"/>
    <col min="2" max="3" width="27.85546875" style="20" customWidth="1"/>
    <col min="4" max="4" width="29.140625" style="20" customWidth="1"/>
    <col min="5" max="5" width="15.7109375" style="20" customWidth="1"/>
    <col min="6" max="6" width="6.42578125" style="20" customWidth="1"/>
    <col min="7" max="7" width="6.140625" style="20" customWidth="1"/>
    <col min="8" max="8" width="30" style="20" customWidth="1"/>
    <col min="9" max="9" width="21.5703125" style="21" customWidth="1"/>
    <col min="10" max="10" width="23" style="22" customWidth="1"/>
    <col min="11" max="12" width="8" style="22" customWidth="1"/>
    <col min="13" max="13" width="9.140625" style="20" customWidth="1"/>
    <col min="14" max="14" width="15.140625" style="20" customWidth="1"/>
    <col min="15" max="15" width="6.28515625" style="31" customWidth="1"/>
    <col min="16" max="16" width="3.42578125" style="20" customWidth="1"/>
    <col min="17" max="17" width="12" style="20" customWidth="1"/>
    <col min="18" max="18" width="6.28515625" style="20" customWidth="1"/>
    <col min="19" max="19" width="3.7109375" style="20" customWidth="1"/>
    <col min="20" max="16384" width="11.42578125" style="20"/>
  </cols>
  <sheetData>
    <row r="3" spans="2:19" ht="18" x14ac:dyDescent="0.25">
      <c r="B3" s="19" t="s">
        <v>45</v>
      </c>
    </row>
    <row r="5" spans="2:19" ht="13.5" thickBot="1" x14ac:dyDescent="0.25">
      <c r="C5" s="21"/>
      <c r="J5" s="23"/>
      <c r="K5" s="23"/>
      <c r="L5" s="23"/>
      <c r="N5" s="68"/>
      <c r="O5" s="68"/>
      <c r="P5" s="68"/>
      <c r="Q5" s="68"/>
      <c r="R5" s="68"/>
      <c r="S5" s="68"/>
    </row>
    <row r="6" spans="2:19" s="27" customFormat="1" ht="12.75" customHeight="1" x14ac:dyDescent="0.25">
      <c r="B6" s="24" t="s">
        <v>3</v>
      </c>
      <c r="C6" s="25" t="s">
        <v>33</v>
      </c>
      <c r="D6" s="25" t="s">
        <v>153</v>
      </c>
      <c r="E6" s="140" t="s">
        <v>154</v>
      </c>
      <c r="F6" s="141"/>
      <c r="G6" s="142"/>
      <c r="H6" s="25" t="s">
        <v>149</v>
      </c>
      <c r="I6" s="25" t="s">
        <v>155</v>
      </c>
      <c r="J6" s="25" t="s">
        <v>157</v>
      </c>
      <c r="K6" s="140" t="s">
        <v>158</v>
      </c>
      <c r="L6" s="141"/>
      <c r="M6" s="142"/>
      <c r="N6" s="143" t="s">
        <v>159</v>
      </c>
      <c r="O6" s="160"/>
      <c r="P6" s="161"/>
      <c r="Q6" s="140" t="s">
        <v>177</v>
      </c>
      <c r="R6" s="187"/>
      <c r="S6" s="188"/>
    </row>
    <row r="7" spans="2:19" s="27" customFormat="1" ht="12.75" customHeight="1" x14ac:dyDescent="0.25">
      <c r="B7" s="69"/>
      <c r="C7" s="70" t="s">
        <v>180</v>
      </c>
      <c r="D7" s="70" t="s">
        <v>147</v>
      </c>
      <c r="E7" s="143" t="s">
        <v>124</v>
      </c>
      <c r="F7" s="155"/>
      <c r="G7" s="145"/>
      <c r="H7" s="70" t="s">
        <v>148</v>
      </c>
      <c r="I7" s="70" t="s">
        <v>156</v>
      </c>
      <c r="J7" s="70" t="s">
        <v>150</v>
      </c>
      <c r="K7" s="143" t="s">
        <v>151</v>
      </c>
      <c r="L7" s="144"/>
      <c r="M7" s="145"/>
      <c r="N7" s="143" t="s">
        <v>151</v>
      </c>
      <c r="O7" s="160"/>
      <c r="P7" s="161"/>
      <c r="Q7" s="143" t="s">
        <v>178</v>
      </c>
      <c r="R7" s="189"/>
      <c r="S7" s="190"/>
    </row>
    <row r="8" spans="2:19" s="27" customFormat="1" ht="15" customHeight="1" x14ac:dyDescent="0.25">
      <c r="B8" s="69"/>
      <c r="C8" s="70"/>
      <c r="D8" s="70"/>
      <c r="E8" s="143" t="str">
        <f>"(pro "&amp;TEXT(B37,"###.##0")&amp;")"</f>
        <v>(pro 100.000)</v>
      </c>
      <c r="F8" s="155"/>
      <c r="G8" s="145"/>
      <c r="H8" s="70"/>
      <c r="I8" s="70" t="s">
        <v>149</v>
      </c>
      <c r="J8" s="70" t="str">
        <f>"(pro "&amp;TEXT(B37,"###.##0")&amp;")"</f>
        <v>(pro 100.000)</v>
      </c>
      <c r="K8" s="143" t="s">
        <v>152</v>
      </c>
      <c r="L8" s="144"/>
      <c r="M8" s="145"/>
      <c r="N8" s="143" t="s">
        <v>152</v>
      </c>
      <c r="O8" s="160"/>
      <c r="P8" s="161"/>
      <c r="Q8" s="143"/>
      <c r="R8" s="189"/>
      <c r="S8" s="190"/>
    </row>
    <row r="9" spans="2:19" s="27" customFormat="1" ht="15" x14ac:dyDescent="0.25">
      <c r="B9" s="69"/>
      <c r="C9" s="70"/>
      <c r="D9" s="70"/>
      <c r="E9" s="71"/>
      <c r="F9" s="72"/>
      <c r="G9" s="73"/>
      <c r="H9" s="70"/>
      <c r="I9" s="70"/>
      <c r="J9" s="70"/>
      <c r="K9" s="71"/>
      <c r="L9" s="72"/>
      <c r="M9" s="73"/>
      <c r="N9" s="143"/>
      <c r="O9" s="160"/>
      <c r="P9" s="161"/>
      <c r="Q9" s="143"/>
      <c r="R9" s="189"/>
      <c r="S9" s="190"/>
    </row>
    <row r="10" spans="2:19" ht="16.5" thickBot="1" x14ac:dyDescent="0.35">
      <c r="B10" s="28"/>
      <c r="C10" s="29" t="s">
        <v>27</v>
      </c>
      <c r="D10" s="29" t="s">
        <v>28</v>
      </c>
      <c r="E10" s="74" t="s">
        <v>162</v>
      </c>
      <c r="F10" s="75" t="str">
        <f>TEXT(B37,"###.##0")</f>
        <v>100.000</v>
      </c>
      <c r="G10" s="76"/>
      <c r="H10" s="30"/>
      <c r="I10" s="29" t="s">
        <v>46</v>
      </c>
      <c r="J10" s="29" t="s">
        <v>53</v>
      </c>
      <c r="K10" s="74" t="s">
        <v>161</v>
      </c>
      <c r="L10" s="77" t="str">
        <f>"("&amp;TEXT(B37,"###.##0")</f>
        <v>(100.000</v>
      </c>
      <c r="M10" s="78" t="s">
        <v>160</v>
      </c>
      <c r="N10" s="79" t="s">
        <v>163</v>
      </c>
      <c r="O10" s="75" t="str">
        <f>TEXT(B37,"###.##0")</f>
        <v>100.000</v>
      </c>
      <c r="P10" s="80"/>
      <c r="Q10" s="126" t="s">
        <v>181</v>
      </c>
      <c r="R10" s="128" t="str">
        <f>TEXT(B37,"###.##0")</f>
        <v>100.000</v>
      </c>
      <c r="S10" s="127"/>
    </row>
    <row r="11" spans="2:19" ht="15" x14ac:dyDescent="0.25">
      <c r="B11" s="32" t="s">
        <v>4</v>
      </c>
      <c r="C11" s="1">
        <v>0</v>
      </c>
      <c r="D11" s="2">
        <v>260848</v>
      </c>
      <c r="E11" s="156">
        <f>C11/D11*$B$37</f>
        <v>0</v>
      </c>
      <c r="F11" s="157"/>
      <c r="G11" s="158"/>
      <c r="H11" s="11">
        <v>8000</v>
      </c>
      <c r="I11" s="33">
        <f>H11/$H$29</f>
        <v>0.08</v>
      </c>
      <c r="J11" s="33">
        <f>I11*E11</f>
        <v>0</v>
      </c>
      <c r="K11" s="146">
        <f>POWER(I11,2)*E11*($B$37-E11)/D11</f>
        <v>0</v>
      </c>
      <c r="L11" s="147"/>
      <c r="M11" s="148"/>
      <c r="N11" s="162">
        <f>POWER(I11,2)*E11/D11*$B$37</f>
        <v>0</v>
      </c>
      <c r="O11" s="157"/>
      <c r="P11" s="158"/>
      <c r="Q11" s="162">
        <f>I11/D11*$B$37</f>
        <v>3.0669201987364288E-2</v>
      </c>
      <c r="R11" s="191"/>
      <c r="S11" s="192"/>
    </row>
    <row r="12" spans="2:19" ht="15" x14ac:dyDescent="0.25">
      <c r="B12" s="34" t="s">
        <v>5</v>
      </c>
      <c r="C12" s="3">
        <v>0</v>
      </c>
      <c r="D12" s="4">
        <v>276019</v>
      </c>
      <c r="E12" s="152">
        <f t="shared" ref="E12:E29" si="0">C12/D12*$B$37</f>
        <v>0</v>
      </c>
      <c r="F12" s="153"/>
      <c r="G12" s="154"/>
      <c r="H12" s="12">
        <v>7000</v>
      </c>
      <c r="I12" s="35">
        <f t="shared" ref="I12:I28" si="1">H12/$H$29</f>
        <v>7.0000000000000007E-2</v>
      </c>
      <c r="J12" s="35">
        <f t="shared" ref="J12:J28" si="2">I12*E12</f>
        <v>0</v>
      </c>
      <c r="K12" s="146">
        <f t="shared" ref="K12:K28" si="3">POWER(I12,2)*E12*($B$37-E12)/D12</f>
        <v>0</v>
      </c>
      <c r="L12" s="147"/>
      <c r="M12" s="148"/>
      <c r="N12" s="159">
        <f t="shared" ref="N12:N28" si="4">POWER(I12,2)*E12/D12*$B$37</f>
        <v>0</v>
      </c>
      <c r="O12" s="153"/>
      <c r="P12" s="154"/>
      <c r="Q12" s="159">
        <f t="shared" ref="Q12:Q28" si="5">I12/D12*$B$37</f>
        <v>2.5360573004032334E-2</v>
      </c>
      <c r="R12" s="163"/>
      <c r="S12" s="164"/>
    </row>
    <row r="13" spans="2:19" ht="15" x14ac:dyDescent="0.25">
      <c r="B13" s="34" t="s">
        <v>6</v>
      </c>
      <c r="C13" s="5">
        <v>0</v>
      </c>
      <c r="D13" s="4">
        <v>310907</v>
      </c>
      <c r="E13" s="152">
        <f t="shared" si="0"/>
        <v>0</v>
      </c>
      <c r="F13" s="153"/>
      <c r="G13" s="154"/>
      <c r="H13" s="12">
        <v>7000</v>
      </c>
      <c r="I13" s="35">
        <f t="shared" si="1"/>
        <v>7.0000000000000007E-2</v>
      </c>
      <c r="J13" s="35">
        <f t="shared" si="2"/>
        <v>0</v>
      </c>
      <c r="K13" s="146">
        <f t="shared" si="3"/>
        <v>0</v>
      </c>
      <c r="L13" s="147"/>
      <c r="M13" s="148"/>
      <c r="N13" s="159">
        <f t="shared" si="4"/>
        <v>0</v>
      </c>
      <c r="O13" s="153"/>
      <c r="P13" s="154"/>
      <c r="Q13" s="159">
        <f t="shared" si="5"/>
        <v>2.2514771298169551E-2</v>
      </c>
      <c r="R13" s="163"/>
      <c r="S13" s="164"/>
    </row>
    <row r="14" spans="2:19" ht="15" x14ac:dyDescent="0.25">
      <c r="B14" s="34" t="s">
        <v>7</v>
      </c>
      <c r="C14" s="5">
        <v>1</v>
      </c>
      <c r="D14" s="4">
        <v>333733</v>
      </c>
      <c r="E14" s="152">
        <f t="shared" si="0"/>
        <v>0.2996407307638142</v>
      </c>
      <c r="F14" s="153"/>
      <c r="G14" s="154"/>
      <c r="H14" s="12">
        <v>7000</v>
      </c>
      <c r="I14" s="35">
        <f t="shared" si="1"/>
        <v>7.0000000000000007E-2</v>
      </c>
      <c r="J14" s="35">
        <f t="shared" si="2"/>
        <v>2.0974851153466995E-2</v>
      </c>
      <c r="K14" s="146">
        <f t="shared" si="3"/>
        <v>4.3994306265753784E-4</v>
      </c>
      <c r="L14" s="147"/>
      <c r="M14" s="148"/>
      <c r="N14" s="159">
        <f t="shared" si="4"/>
        <v>4.3994438091009573E-4</v>
      </c>
      <c r="O14" s="153"/>
      <c r="P14" s="154"/>
      <c r="Q14" s="159">
        <f t="shared" si="5"/>
        <v>2.0974851153466995E-2</v>
      </c>
      <c r="R14" s="163"/>
      <c r="S14" s="164"/>
    </row>
    <row r="15" spans="2:19" ht="15" x14ac:dyDescent="0.25">
      <c r="B15" s="34" t="s">
        <v>8</v>
      </c>
      <c r="C15" s="5">
        <v>0</v>
      </c>
      <c r="D15" s="4">
        <v>376285</v>
      </c>
      <c r="E15" s="152">
        <f t="shared" si="0"/>
        <v>0</v>
      </c>
      <c r="F15" s="153"/>
      <c r="G15" s="154"/>
      <c r="H15" s="12">
        <v>7000</v>
      </c>
      <c r="I15" s="35">
        <f t="shared" si="1"/>
        <v>7.0000000000000007E-2</v>
      </c>
      <c r="J15" s="35">
        <f t="shared" si="2"/>
        <v>0</v>
      </c>
      <c r="K15" s="146">
        <f t="shared" si="3"/>
        <v>0</v>
      </c>
      <c r="L15" s="147"/>
      <c r="M15" s="148"/>
      <c r="N15" s="159">
        <f t="shared" si="4"/>
        <v>0</v>
      </c>
      <c r="O15" s="153"/>
      <c r="P15" s="154"/>
      <c r="Q15" s="159">
        <f t="shared" si="5"/>
        <v>1.8602920658543392E-2</v>
      </c>
      <c r="R15" s="163"/>
      <c r="S15" s="164"/>
    </row>
    <row r="16" spans="2:19" ht="15" x14ac:dyDescent="0.25">
      <c r="B16" s="34" t="s">
        <v>9</v>
      </c>
      <c r="C16" s="5">
        <v>2</v>
      </c>
      <c r="D16" s="4">
        <v>382400</v>
      </c>
      <c r="E16" s="152">
        <f t="shared" si="0"/>
        <v>0.52301255230125532</v>
      </c>
      <c r="F16" s="153"/>
      <c r="G16" s="154"/>
      <c r="H16" s="12">
        <v>7000</v>
      </c>
      <c r="I16" s="35">
        <f t="shared" si="1"/>
        <v>7.0000000000000007E-2</v>
      </c>
      <c r="J16" s="35">
        <f t="shared" si="2"/>
        <v>3.6610878661087878E-2</v>
      </c>
      <c r="K16" s="146">
        <f t="shared" si="3"/>
        <v>6.7017471305224588E-4</v>
      </c>
      <c r="L16" s="147"/>
      <c r="M16" s="148"/>
      <c r="N16" s="159">
        <f t="shared" si="4"/>
        <v>6.7017821816844957E-4</v>
      </c>
      <c r="O16" s="153"/>
      <c r="P16" s="154"/>
      <c r="Q16" s="159">
        <f t="shared" si="5"/>
        <v>1.8305439330543936E-2</v>
      </c>
      <c r="R16" s="163"/>
      <c r="S16" s="164"/>
    </row>
    <row r="17" spans="2:19" ht="15" x14ac:dyDescent="0.25">
      <c r="B17" s="34" t="s">
        <v>10</v>
      </c>
      <c r="C17" s="5">
        <v>2</v>
      </c>
      <c r="D17" s="4">
        <v>380259</v>
      </c>
      <c r="E17" s="152">
        <f t="shared" si="0"/>
        <v>0.52595730804530594</v>
      </c>
      <c r="F17" s="153"/>
      <c r="G17" s="154"/>
      <c r="H17" s="12">
        <v>7000</v>
      </c>
      <c r="I17" s="35">
        <f t="shared" si="1"/>
        <v>7.0000000000000007E-2</v>
      </c>
      <c r="J17" s="35">
        <f t="shared" si="2"/>
        <v>3.6817011563171416E-2</v>
      </c>
      <c r="K17" s="146">
        <f t="shared" si="3"/>
        <v>6.7774260556583679E-4</v>
      </c>
      <c r="L17" s="147"/>
      <c r="M17" s="148"/>
      <c r="N17" s="159">
        <f t="shared" si="4"/>
        <v>6.7774617022134896E-4</v>
      </c>
      <c r="O17" s="153"/>
      <c r="P17" s="154"/>
      <c r="Q17" s="159">
        <f t="shared" si="5"/>
        <v>1.8408505781585711E-2</v>
      </c>
      <c r="R17" s="163"/>
      <c r="S17" s="164"/>
    </row>
    <row r="18" spans="2:19" ht="15" x14ac:dyDescent="0.25">
      <c r="B18" s="34" t="s">
        <v>11</v>
      </c>
      <c r="C18" s="5">
        <v>10</v>
      </c>
      <c r="D18" s="4">
        <v>394090</v>
      </c>
      <c r="E18" s="152">
        <f t="shared" si="0"/>
        <v>2.5374914359664036</v>
      </c>
      <c r="F18" s="153"/>
      <c r="G18" s="154"/>
      <c r="H18" s="12">
        <v>7000</v>
      </c>
      <c r="I18" s="35">
        <f t="shared" si="1"/>
        <v>7.0000000000000007E-2</v>
      </c>
      <c r="J18" s="35">
        <f t="shared" si="2"/>
        <v>0.17762440051764827</v>
      </c>
      <c r="K18" s="146">
        <f t="shared" si="3"/>
        <v>3.1549627069854059E-3</v>
      </c>
      <c r="L18" s="147"/>
      <c r="M18" s="148"/>
      <c r="N18" s="159">
        <f t="shared" si="4"/>
        <v>3.1550427659253924E-3</v>
      </c>
      <c r="O18" s="153"/>
      <c r="P18" s="154"/>
      <c r="Q18" s="159">
        <f t="shared" si="5"/>
        <v>1.7762440051764826E-2</v>
      </c>
      <c r="R18" s="163"/>
      <c r="S18" s="164"/>
    </row>
    <row r="19" spans="2:19" ht="15" x14ac:dyDescent="0.25">
      <c r="B19" s="34" t="s">
        <v>12</v>
      </c>
      <c r="C19" s="5">
        <v>31</v>
      </c>
      <c r="D19" s="4">
        <v>511715</v>
      </c>
      <c r="E19" s="152">
        <f t="shared" si="0"/>
        <v>6.0580596621166078</v>
      </c>
      <c r="F19" s="153"/>
      <c r="G19" s="154"/>
      <c r="H19" s="12">
        <v>7000</v>
      </c>
      <c r="I19" s="35">
        <f t="shared" si="1"/>
        <v>7.0000000000000007E-2</v>
      </c>
      <c r="J19" s="35">
        <f t="shared" si="2"/>
        <v>0.42406417634816257</v>
      </c>
      <c r="K19" s="146">
        <f t="shared" si="3"/>
        <v>5.8006300460441392E-3</v>
      </c>
      <c r="L19" s="147"/>
      <c r="M19" s="148"/>
      <c r="N19" s="159">
        <f t="shared" si="4"/>
        <v>5.8009814729627594E-3</v>
      </c>
      <c r="O19" s="153"/>
      <c r="P19" s="154"/>
      <c r="Q19" s="159">
        <f t="shared" si="5"/>
        <v>1.3679489559618148E-2</v>
      </c>
      <c r="R19" s="163"/>
      <c r="S19" s="164"/>
    </row>
    <row r="20" spans="2:19" ht="15" x14ac:dyDescent="0.25">
      <c r="B20" s="34" t="s">
        <v>13</v>
      </c>
      <c r="C20" s="5">
        <v>62</v>
      </c>
      <c r="D20" s="4">
        <v>532462</v>
      </c>
      <c r="E20" s="152">
        <f t="shared" si="0"/>
        <v>11.644023423267763</v>
      </c>
      <c r="F20" s="153"/>
      <c r="G20" s="154"/>
      <c r="H20" s="12">
        <v>7000</v>
      </c>
      <c r="I20" s="35">
        <f t="shared" si="1"/>
        <v>7.0000000000000007E-2</v>
      </c>
      <c r="J20" s="35">
        <f t="shared" si="2"/>
        <v>0.81508163962874347</v>
      </c>
      <c r="K20" s="146">
        <f t="shared" si="3"/>
        <v>1.0714205181443831E-2</v>
      </c>
      <c r="L20" s="147"/>
      <c r="M20" s="148"/>
      <c r="N20" s="159">
        <f t="shared" si="4"/>
        <v>1.0715452891288401E-2</v>
      </c>
      <c r="O20" s="153"/>
      <c r="P20" s="154"/>
      <c r="Q20" s="159">
        <f t="shared" si="5"/>
        <v>1.3146478058528123E-2</v>
      </c>
      <c r="R20" s="163"/>
      <c r="S20" s="164"/>
    </row>
    <row r="21" spans="2:19" ht="15" x14ac:dyDescent="0.25">
      <c r="B21" s="34" t="s">
        <v>14</v>
      </c>
      <c r="C21" s="5">
        <v>132</v>
      </c>
      <c r="D21" s="4">
        <v>464405</v>
      </c>
      <c r="E21" s="152">
        <f t="shared" si="0"/>
        <v>28.423466586277065</v>
      </c>
      <c r="F21" s="153"/>
      <c r="G21" s="154"/>
      <c r="H21" s="12">
        <v>7000</v>
      </c>
      <c r="I21" s="35">
        <f t="shared" si="1"/>
        <v>7.0000000000000007E-2</v>
      </c>
      <c r="J21" s="35">
        <f t="shared" si="2"/>
        <v>1.9896426610393947</v>
      </c>
      <c r="K21" s="146">
        <f t="shared" si="3"/>
        <v>2.9981460038882305E-2</v>
      </c>
      <c r="L21" s="147"/>
      <c r="M21" s="148"/>
      <c r="N21" s="159">
        <f t="shared" si="4"/>
        <v>2.9989984232029723E-2</v>
      </c>
      <c r="O21" s="153"/>
      <c r="P21" s="154"/>
      <c r="Q21" s="159">
        <f t="shared" si="5"/>
        <v>1.5073050462419656E-2</v>
      </c>
      <c r="R21" s="163"/>
      <c r="S21" s="164"/>
    </row>
    <row r="22" spans="2:19" ht="15" x14ac:dyDescent="0.25">
      <c r="B22" s="34" t="s">
        <v>15</v>
      </c>
      <c r="C22" s="5">
        <v>179</v>
      </c>
      <c r="D22" s="4">
        <v>399868</v>
      </c>
      <c r="E22" s="152">
        <f t="shared" si="0"/>
        <v>44.764772374883712</v>
      </c>
      <c r="F22" s="153"/>
      <c r="G22" s="154"/>
      <c r="H22" s="12">
        <v>6000</v>
      </c>
      <c r="I22" s="35">
        <f t="shared" si="1"/>
        <v>0.06</v>
      </c>
      <c r="J22" s="35">
        <f t="shared" si="2"/>
        <v>2.6858863424930228</v>
      </c>
      <c r="K22" s="146">
        <f t="shared" si="3"/>
        <v>4.0283553746519714E-2</v>
      </c>
      <c r="L22" s="147"/>
      <c r="M22" s="148"/>
      <c r="N22" s="159">
        <f t="shared" si="4"/>
        <v>4.0301594663634338E-2</v>
      </c>
      <c r="O22" s="153"/>
      <c r="P22" s="154"/>
      <c r="Q22" s="159">
        <f t="shared" si="5"/>
        <v>1.5004951634039233E-2</v>
      </c>
      <c r="R22" s="163"/>
      <c r="S22" s="164"/>
    </row>
    <row r="23" spans="2:19" ht="15" x14ac:dyDescent="0.25">
      <c r="B23" s="34" t="s">
        <v>16</v>
      </c>
      <c r="C23" s="5">
        <v>211</v>
      </c>
      <c r="D23" s="4">
        <v>362579</v>
      </c>
      <c r="E23" s="152">
        <f t="shared" si="0"/>
        <v>58.194214226416868</v>
      </c>
      <c r="F23" s="153"/>
      <c r="G23" s="154"/>
      <c r="H23" s="12">
        <v>5000</v>
      </c>
      <c r="I23" s="35">
        <f t="shared" si="1"/>
        <v>0.05</v>
      </c>
      <c r="J23" s="35">
        <f t="shared" si="2"/>
        <v>2.9097107113208436</v>
      </c>
      <c r="K23" s="146">
        <f t="shared" si="3"/>
        <v>4.0101845777556461E-2</v>
      </c>
      <c r="L23" s="147"/>
      <c r="M23" s="148"/>
      <c r="N23" s="159">
        <f t="shared" si="4"/>
        <v>4.012519632026184E-2</v>
      </c>
      <c r="O23" s="153"/>
      <c r="P23" s="154"/>
      <c r="Q23" s="159">
        <f t="shared" si="5"/>
        <v>1.3790098157918689E-2</v>
      </c>
      <c r="R23" s="163"/>
      <c r="S23" s="164"/>
    </row>
    <row r="24" spans="2:19" ht="15" x14ac:dyDescent="0.25">
      <c r="B24" s="34" t="s">
        <v>17</v>
      </c>
      <c r="C24" s="5">
        <v>245</v>
      </c>
      <c r="D24" s="4">
        <v>327891</v>
      </c>
      <c r="E24" s="152">
        <f t="shared" si="0"/>
        <v>74.719952667197333</v>
      </c>
      <c r="F24" s="153"/>
      <c r="G24" s="154"/>
      <c r="H24" s="12">
        <v>4000</v>
      </c>
      <c r="I24" s="35">
        <f t="shared" si="1"/>
        <v>0.04</v>
      </c>
      <c r="J24" s="35">
        <f t="shared" si="2"/>
        <v>2.9887981066878933</v>
      </c>
      <c r="K24" s="146">
        <f t="shared" si="3"/>
        <v>3.6433630421783561E-2</v>
      </c>
      <c r="L24" s="147"/>
      <c r="M24" s="148"/>
      <c r="N24" s="159">
        <f t="shared" si="4"/>
        <v>3.6460873969555656E-2</v>
      </c>
      <c r="O24" s="153"/>
      <c r="P24" s="154"/>
      <c r="Q24" s="159">
        <f t="shared" si="5"/>
        <v>1.2199175945664869E-2</v>
      </c>
      <c r="R24" s="163"/>
      <c r="S24" s="164"/>
    </row>
    <row r="25" spans="2:19" ht="15" x14ac:dyDescent="0.25">
      <c r="B25" s="34" t="s">
        <v>18</v>
      </c>
      <c r="C25" s="5">
        <v>316</v>
      </c>
      <c r="D25" s="4">
        <v>379527</v>
      </c>
      <c r="E25" s="152">
        <f t="shared" si="0"/>
        <v>83.261533435038871</v>
      </c>
      <c r="F25" s="153"/>
      <c r="G25" s="154"/>
      <c r="H25" s="12">
        <v>3000</v>
      </c>
      <c r="I25" s="35">
        <f t="shared" si="1"/>
        <v>0.03</v>
      </c>
      <c r="J25" s="35">
        <f t="shared" si="2"/>
        <v>2.497846003051166</v>
      </c>
      <c r="K25" s="146">
        <f t="shared" si="3"/>
        <v>1.9727973963640372E-2</v>
      </c>
      <c r="L25" s="147"/>
      <c r="M25" s="148"/>
      <c r="N25" s="159">
        <f t="shared" si="4"/>
        <v>1.9744413465059136E-2</v>
      </c>
      <c r="O25" s="153"/>
      <c r="P25" s="154"/>
      <c r="Q25" s="159">
        <f t="shared" si="5"/>
        <v>7.9045759590226777E-3</v>
      </c>
      <c r="R25" s="163"/>
      <c r="S25" s="164"/>
    </row>
    <row r="26" spans="2:19" ht="15" x14ac:dyDescent="0.25">
      <c r="B26" s="34" t="s">
        <v>19</v>
      </c>
      <c r="C26" s="5">
        <v>261</v>
      </c>
      <c r="D26" s="4">
        <v>265354</v>
      </c>
      <c r="E26" s="152">
        <f t="shared" si="0"/>
        <v>98.359173029236416</v>
      </c>
      <c r="F26" s="153"/>
      <c r="G26" s="154"/>
      <c r="H26" s="12">
        <v>2000</v>
      </c>
      <c r="I26" s="35">
        <f t="shared" si="1"/>
        <v>0.02</v>
      </c>
      <c r="J26" s="35">
        <f t="shared" si="2"/>
        <v>1.9671834605847283</v>
      </c>
      <c r="K26" s="146">
        <f t="shared" si="3"/>
        <v>1.4812277600495409E-2</v>
      </c>
      <c r="L26" s="147"/>
      <c r="M26" s="148"/>
      <c r="N26" s="159">
        <f t="shared" si="4"/>
        <v>1.4826861178536811E-2</v>
      </c>
      <c r="O26" s="153"/>
      <c r="P26" s="154"/>
      <c r="Q26" s="159">
        <f t="shared" si="5"/>
        <v>7.5371013815506835E-3</v>
      </c>
      <c r="R26" s="163"/>
      <c r="S26" s="164"/>
    </row>
    <row r="27" spans="2:19" ht="15" x14ac:dyDescent="0.25">
      <c r="B27" s="34" t="s">
        <v>20</v>
      </c>
      <c r="C27" s="5">
        <v>171</v>
      </c>
      <c r="D27" s="4">
        <v>213610</v>
      </c>
      <c r="E27" s="152">
        <f t="shared" si="0"/>
        <v>80.052432002247087</v>
      </c>
      <c r="F27" s="153"/>
      <c r="G27" s="154"/>
      <c r="H27" s="12">
        <v>1000</v>
      </c>
      <c r="I27" s="35">
        <f t="shared" si="1"/>
        <v>0.01</v>
      </c>
      <c r="J27" s="35">
        <f t="shared" si="2"/>
        <v>0.80052432002247087</v>
      </c>
      <c r="K27" s="146">
        <f t="shared" si="3"/>
        <v>3.7445975414799092E-3</v>
      </c>
      <c r="L27" s="147"/>
      <c r="M27" s="148"/>
      <c r="N27" s="159">
        <f t="shared" si="4"/>
        <v>3.747597584487949E-3</v>
      </c>
      <c r="O27" s="153"/>
      <c r="P27" s="154"/>
      <c r="Q27" s="159">
        <f t="shared" si="5"/>
        <v>4.6814287720612332E-3</v>
      </c>
      <c r="R27" s="163"/>
      <c r="S27" s="164"/>
    </row>
    <row r="28" spans="2:19" ht="15.75" thickBot="1" x14ac:dyDescent="0.3">
      <c r="B28" s="36" t="s">
        <v>21</v>
      </c>
      <c r="C28" s="6">
        <v>152</v>
      </c>
      <c r="D28" s="7">
        <v>208305</v>
      </c>
      <c r="E28" s="178">
        <f t="shared" si="0"/>
        <v>72.969923909651712</v>
      </c>
      <c r="F28" s="166"/>
      <c r="G28" s="167"/>
      <c r="H28" s="13">
        <v>1000</v>
      </c>
      <c r="I28" s="35">
        <f t="shared" si="1"/>
        <v>0.01</v>
      </c>
      <c r="J28" s="37">
        <f t="shared" si="2"/>
        <v>0.72969923909651713</v>
      </c>
      <c r="K28" s="146">
        <f t="shared" si="3"/>
        <v>3.5004765997790699E-3</v>
      </c>
      <c r="L28" s="147"/>
      <c r="M28" s="148"/>
      <c r="N28" s="165">
        <f t="shared" si="4"/>
        <v>3.5030327601186582E-3</v>
      </c>
      <c r="O28" s="166"/>
      <c r="P28" s="167"/>
      <c r="Q28" s="182">
        <f t="shared" si="5"/>
        <v>4.800652888792876E-3</v>
      </c>
      <c r="R28" s="183"/>
      <c r="S28" s="184"/>
    </row>
    <row r="29" spans="2:19" ht="15.75" thickBot="1" x14ac:dyDescent="0.3">
      <c r="B29" s="9" t="s">
        <v>31</v>
      </c>
      <c r="C29" s="8">
        <f>SUM(C11:C28)</f>
        <v>1775</v>
      </c>
      <c r="D29" s="9">
        <f>SUM(D11:D28)</f>
        <v>6380257</v>
      </c>
      <c r="E29" s="179">
        <f t="shared" si="0"/>
        <v>27.82019595762365</v>
      </c>
      <c r="F29" s="180"/>
      <c r="G29" s="181"/>
      <c r="H29" s="81">
        <f t="shared" ref="H29:N29" si="6">SUM(H11:H28)</f>
        <v>100000</v>
      </c>
      <c r="I29" s="39">
        <f t="shared" si="6"/>
        <v>1.0000000000000004</v>
      </c>
      <c r="J29" s="39">
        <f t="shared" si="6"/>
        <v>18.080463802168321</v>
      </c>
      <c r="K29" s="149">
        <f>SUM(K11:K28)</f>
        <v>0.21004347400588577</v>
      </c>
      <c r="L29" s="150"/>
      <c r="M29" s="151"/>
      <c r="N29" s="149">
        <f t="shared" si="6"/>
        <v>0.21015890007316057</v>
      </c>
      <c r="O29" s="150"/>
      <c r="P29" s="151"/>
      <c r="Q29" s="149"/>
      <c r="R29" s="185"/>
      <c r="S29" s="186"/>
    </row>
    <row r="30" spans="2:19" x14ac:dyDescent="0.2">
      <c r="B30" s="31"/>
      <c r="C30" s="40"/>
      <c r="D30" s="31"/>
      <c r="E30" s="31"/>
      <c r="F30" s="82"/>
      <c r="G30" s="82"/>
      <c r="H30" s="31"/>
      <c r="I30" s="42"/>
      <c r="J30" s="43"/>
      <c r="K30" s="43"/>
      <c r="L30" s="43"/>
      <c r="M30" s="31"/>
      <c r="N30" s="31"/>
    </row>
    <row r="31" spans="2:19" x14ac:dyDescent="0.2">
      <c r="B31" s="44" t="s">
        <v>47</v>
      </c>
      <c r="C31" s="21"/>
    </row>
    <row r="32" spans="2:19" ht="13.5" thickBot="1" x14ac:dyDescent="0.25">
      <c r="B32" s="44"/>
      <c r="C32" s="21"/>
    </row>
    <row r="33" spans="2:14" x14ac:dyDescent="0.2">
      <c r="B33" s="25" t="s">
        <v>126</v>
      </c>
      <c r="C33" s="47" t="s">
        <v>94</v>
      </c>
      <c r="D33" s="47" t="s">
        <v>48</v>
      </c>
      <c r="E33" s="83"/>
      <c r="J33" s="48"/>
      <c r="K33" s="48"/>
      <c r="L33" s="48"/>
    </row>
    <row r="34" spans="2:14" x14ac:dyDescent="0.2">
      <c r="B34" s="129" t="s">
        <v>143</v>
      </c>
      <c r="C34" s="84" t="str">
        <f>"(pro "&amp;TEXT(B37,"###.##0")&amp;")"</f>
        <v>(pro 100.000)</v>
      </c>
      <c r="D34" s="84" t="str">
        <f>"(pro "&amp;TEXT(B37,"###.##0")&amp;")"</f>
        <v>(pro 100.000)</v>
      </c>
      <c r="E34" s="83"/>
      <c r="K34" s="48"/>
      <c r="L34" s="48"/>
    </row>
    <row r="35" spans="2:14" x14ac:dyDescent="0.2">
      <c r="B35" s="129" t="s">
        <v>196</v>
      </c>
      <c r="C35" s="85"/>
      <c r="D35" s="86"/>
      <c r="E35" s="31"/>
      <c r="I35" s="87"/>
      <c r="J35" s="88"/>
      <c r="K35" s="88"/>
      <c r="L35" s="88"/>
      <c r="M35" s="31"/>
      <c r="N35" s="89"/>
    </row>
    <row r="36" spans="2:14" ht="26.25" thickBot="1" x14ac:dyDescent="0.4">
      <c r="B36" s="129" t="s">
        <v>197</v>
      </c>
      <c r="C36" s="29" t="str">
        <f>"R = E / N ∙ "&amp;TEXT(B37,"###.##0")</f>
        <v>R = E / N ∙ 100.000</v>
      </c>
      <c r="D36" s="29" t="s">
        <v>146</v>
      </c>
      <c r="E36" s="90"/>
      <c r="F36" s="31"/>
      <c r="G36" s="31"/>
      <c r="H36" s="31"/>
      <c r="I36" s="60"/>
      <c r="J36" s="88"/>
      <c r="K36" s="88"/>
      <c r="L36" s="88"/>
    </row>
    <row r="37" spans="2:14" ht="13.5" thickBot="1" x14ac:dyDescent="0.25">
      <c r="B37" s="17">
        <v>100000</v>
      </c>
      <c r="C37" s="16">
        <f>E29</f>
        <v>27.82019595762365</v>
      </c>
      <c r="D37" s="16">
        <f>J29</f>
        <v>18.080463802168321</v>
      </c>
      <c r="E37" s="18"/>
    </row>
    <row r="39" spans="2:14" x14ac:dyDescent="0.2">
      <c r="B39" s="44" t="s">
        <v>170</v>
      </c>
    </row>
    <row r="40" spans="2:14" ht="13.5" thickBot="1" x14ac:dyDescent="0.25"/>
    <row r="41" spans="2:14" x14ac:dyDescent="0.2">
      <c r="B41" s="52" t="s">
        <v>38</v>
      </c>
      <c r="D41" s="91"/>
      <c r="E41" s="91"/>
    </row>
    <row r="42" spans="2:14" x14ac:dyDescent="0.2">
      <c r="B42" s="92"/>
    </row>
    <row r="43" spans="2:14" ht="13.5" thickBot="1" x14ac:dyDescent="0.25">
      <c r="B43" s="28" t="s">
        <v>41</v>
      </c>
    </row>
    <row r="44" spans="2:14" ht="13.5" thickBot="1" x14ac:dyDescent="0.25">
      <c r="B44" s="10">
        <v>95</v>
      </c>
    </row>
    <row r="45" spans="2:14" x14ac:dyDescent="0.2">
      <c r="B45" s="93"/>
    </row>
    <row r="46" spans="2:14" x14ac:dyDescent="0.2">
      <c r="B46" s="44" t="s">
        <v>175</v>
      </c>
      <c r="C46" s="31"/>
      <c r="I46" s="20"/>
      <c r="J46" s="20"/>
      <c r="K46" s="20"/>
      <c r="L46" s="20"/>
    </row>
    <row r="47" spans="2:14" ht="13.5" thickBot="1" x14ac:dyDescent="0.25">
      <c r="I47" s="20"/>
      <c r="J47" s="20"/>
      <c r="K47" s="20"/>
      <c r="L47" s="20"/>
    </row>
    <row r="48" spans="2:14" x14ac:dyDescent="0.2">
      <c r="B48" s="133" t="s">
        <v>57</v>
      </c>
      <c r="C48" s="134"/>
      <c r="I48" s="20"/>
      <c r="J48" s="20"/>
      <c r="K48" s="20"/>
      <c r="L48" s="20"/>
    </row>
    <row r="49" spans="1:12" x14ac:dyDescent="0.2">
      <c r="A49" s="94"/>
      <c r="B49" s="95"/>
      <c r="C49" s="96"/>
      <c r="I49" s="20"/>
      <c r="J49" s="20"/>
      <c r="K49" s="20"/>
      <c r="L49" s="20"/>
    </row>
    <row r="50" spans="1:12" ht="13.5" thickBot="1" x14ac:dyDescent="0.25">
      <c r="A50" s="94"/>
      <c r="B50" s="125" t="s">
        <v>0</v>
      </c>
      <c r="C50" s="54" t="s">
        <v>1</v>
      </c>
      <c r="I50" s="20"/>
      <c r="J50" s="20"/>
      <c r="K50" s="20"/>
      <c r="L50" s="20"/>
    </row>
    <row r="51" spans="1:12" ht="13.5" thickBot="1" x14ac:dyDescent="0.25">
      <c r="B51" s="50">
        <f>D37-_xlfn.NORM.S.INV((1+B44/100)/2)*SQRT(K29)</f>
        <v>17.182202506136289</v>
      </c>
      <c r="C51" s="50">
        <f>D37+_xlfn.NORM.S.INV((1+B44/100)/2)*SQRT(K29)</f>
        <v>18.978725098200353</v>
      </c>
      <c r="I51" s="20"/>
      <c r="J51" s="20"/>
      <c r="K51" s="20"/>
      <c r="L51" s="20"/>
    </row>
    <row r="53" spans="1:12" x14ac:dyDescent="0.2">
      <c r="B53" s="44" t="s">
        <v>174</v>
      </c>
    </row>
    <row r="54" spans="1:12" x14ac:dyDescent="0.2">
      <c r="B54" s="44"/>
    </row>
    <row r="55" spans="1:12" x14ac:dyDescent="0.2">
      <c r="B55" s="57" t="s">
        <v>173</v>
      </c>
    </row>
    <row r="56" spans="1:12" ht="13.5" thickBot="1" x14ac:dyDescent="0.25"/>
    <row r="57" spans="1:12" ht="15" x14ac:dyDescent="0.25">
      <c r="B57" s="131" t="s">
        <v>58</v>
      </c>
      <c r="C57" s="132"/>
      <c r="D57" s="168" t="s">
        <v>144</v>
      </c>
      <c r="E57" s="169"/>
      <c r="F57" s="169"/>
      <c r="G57" s="170"/>
      <c r="I57" s="20"/>
      <c r="J57" s="20"/>
      <c r="K57" s="20"/>
      <c r="L57" s="20"/>
    </row>
    <row r="58" spans="1:12" ht="15" x14ac:dyDescent="0.25">
      <c r="B58" s="136" t="s">
        <v>59</v>
      </c>
      <c r="C58" s="137"/>
      <c r="D58" s="171" t="s">
        <v>145</v>
      </c>
      <c r="E58" s="172"/>
      <c r="F58" s="173"/>
      <c r="G58" s="137"/>
      <c r="I58" s="20"/>
      <c r="J58" s="20"/>
      <c r="K58" s="20"/>
      <c r="L58" s="20"/>
    </row>
    <row r="59" spans="1:12" ht="15.75" thickBot="1" x14ac:dyDescent="0.3">
      <c r="B59" s="97" t="s">
        <v>0</v>
      </c>
      <c r="C59" s="54" t="s">
        <v>1</v>
      </c>
      <c r="D59" s="97" t="s">
        <v>0</v>
      </c>
      <c r="E59" s="174" t="s">
        <v>1</v>
      </c>
      <c r="F59" s="175"/>
      <c r="G59" s="176"/>
      <c r="I59" s="20"/>
      <c r="J59" s="20"/>
      <c r="K59" s="20"/>
      <c r="L59" s="20"/>
    </row>
    <row r="60" spans="1:12" ht="15.75" thickBot="1" x14ac:dyDescent="0.3">
      <c r="B60" s="50">
        <f>IF(C29=0, 0, D37+SQRT(N29/C29)*(_xlfn.CHISQ.INV.RT((1+B44/100)/2,2*C29)/2-C29))</f>
        <v>17.192305828839853</v>
      </c>
      <c r="C60" s="50">
        <f>IF(C29=0, 0, D37+SQRT(N29/C29)*(_xlfn.CHISQ.INV.RT((1-B44/100)/2,2*(C29+1))/2-C29))</f>
        <v>19.000367388808201</v>
      </c>
      <c r="D60" s="50">
        <f>IF(C29=0, 0, D37+SQRT(N29/C29)*(C29*POWER(1-(1/(9*C29))-(_xlfn.NORM.S.INV((1+B44/100)/2)/(3*SQRT(C29))),3)-C29))</f>
        <v>17.192301658774575</v>
      </c>
      <c r="E60" s="177">
        <f>IF(C29=0, 0, D37+SQRT(N29/C29)*((C29+1)*POWER(1-(1/(9*(C29+1)))+(_xlfn.NORM.S.INV((1+B44/100)/2)/(3*SQRT(C29+1))),3)-C29))</f>
        <v>19.000371102702328</v>
      </c>
      <c r="F60" s="150"/>
      <c r="G60" s="151"/>
      <c r="H60" s="98"/>
      <c r="I60" s="20"/>
      <c r="J60" s="20"/>
      <c r="K60" s="20"/>
      <c r="L60" s="20"/>
    </row>
    <row r="61" spans="1:12" x14ac:dyDescent="0.2">
      <c r="F61" s="31"/>
      <c r="G61" s="31"/>
    </row>
    <row r="62" spans="1:12" x14ac:dyDescent="0.2">
      <c r="B62" s="57" t="s">
        <v>171</v>
      </c>
    </row>
    <row r="63" spans="1:12" ht="13.5" thickBot="1" x14ac:dyDescent="0.25">
      <c r="B63" s="57"/>
    </row>
    <row r="64" spans="1:12" x14ac:dyDescent="0.2">
      <c r="B64" s="131" t="s">
        <v>172</v>
      </c>
      <c r="C64" s="132"/>
    </row>
    <row r="65" spans="2:12" ht="15" x14ac:dyDescent="0.25">
      <c r="B65" s="136"/>
      <c r="C65" s="137"/>
    </row>
    <row r="66" spans="2:12" ht="13.5" thickBot="1" x14ac:dyDescent="0.25">
      <c r="B66" s="97" t="s">
        <v>0</v>
      </c>
      <c r="C66" s="54" t="s">
        <v>1</v>
      </c>
    </row>
    <row r="67" spans="2:12" ht="13.5" thickBot="1" x14ac:dyDescent="0.25">
      <c r="B67" s="50">
        <f>_xlfn.GAMMA.INV((1-B44/100)/2,POWER(D37,2)/N29,N29/D37)</f>
        <v>17.193015156805224</v>
      </c>
      <c r="C67" s="50">
        <f>_xlfn.GAMMA.INV((1+B44/100)/2,POWER(D37+MAX(Q11:Q28),2)/(N29+POWER(MAX(Q11:Q28),2)),(N29+POWER(MAX(Q11:Q28),2))/(D37+MAX(Q11:Q28)))</f>
        <v>19.022638003155777</v>
      </c>
      <c r="D67" s="48"/>
    </row>
    <row r="68" spans="2:12" x14ac:dyDescent="0.2">
      <c r="H68" s="41"/>
      <c r="I68" s="31"/>
      <c r="J68" s="31"/>
      <c r="K68" s="31"/>
      <c r="L68" s="31"/>
    </row>
    <row r="69" spans="2:12" x14ac:dyDescent="0.2">
      <c r="D69" s="124"/>
      <c r="H69" s="41"/>
      <c r="I69" s="31"/>
      <c r="J69" s="31"/>
      <c r="K69" s="31"/>
      <c r="L69" s="31"/>
    </row>
    <row r="70" spans="2:12" x14ac:dyDescent="0.2">
      <c r="H70" s="41"/>
      <c r="I70" s="31"/>
      <c r="J70" s="31"/>
      <c r="K70" s="31"/>
      <c r="L70" s="31"/>
    </row>
    <row r="71" spans="2:12" x14ac:dyDescent="0.2">
      <c r="B71" s="44" t="s">
        <v>77</v>
      </c>
      <c r="H71" s="31"/>
      <c r="I71" s="31"/>
      <c r="J71" s="31"/>
      <c r="K71" s="31"/>
      <c r="L71" s="31"/>
    </row>
    <row r="72" spans="2:12" x14ac:dyDescent="0.2">
      <c r="H72" s="99"/>
      <c r="I72" s="100"/>
      <c r="J72" s="100"/>
      <c r="K72" s="100"/>
      <c r="L72" s="100"/>
    </row>
    <row r="73" spans="2:12" x14ac:dyDescent="0.2">
      <c r="B73" s="20" t="s">
        <v>71</v>
      </c>
      <c r="H73" s="99"/>
      <c r="I73" s="100"/>
      <c r="J73" s="100"/>
      <c r="K73" s="100"/>
      <c r="L73" s="100"/>
    </row>
    <row r="74" spans="2:12" x14ac:dyDescent="0.2">
      <c r="H74" s="31"/>
      <c r="I74" s="101"/>
      <c r="J74" s="101"/>
      <c r="K74" s="101"/>
      <c r="L74" s="101"/>
    </row>
    <row r="75" spans="2:12" x14ac:dyDescent="0.2">
      <c r="B75" s="20" t="s">
        <v>72</v>
      </c>
      <c r="H75" s="31"/>
      <c r="I75" s="101"/>
      <c r="J75" s="101"/>
      <c r="K75" s="101"/>
      <c r="L75" s="101"/>
    </row>
    <row r="76" spans="2:12" x14ac:dyDescent="0.2">
      <c r="B76" s="20" t="s">
        <v>73</v>
      </c>
      <c r="H76" s="31"/>
      <c r="I76" s="101"/>
      <c r="J76" s="101"/>
      <c r="K76" s="101"/>
      <c r="L76" s="101"/>
    </row>
    <row r="77" spans="2:12" x14ac:dyDescent="0.2">
      <c r="H77" s="31"/>
      <c r="I77" s="101"/>
      <c r="J77" s="101"/>
      <c r="K77" s="101"/>
      <c r="L77" s="101"/>
    </row>
    <row r="78" spans="2:12" x14ac:dyDescent="0.2">
      <c r="B78" s="20" t="s">
        <v>209</v>
      </c>
      <c r="H78" s="31"/>
      <c r="I78" s="101"/>
      <c r="J78" s="101"/>
      <c r="K78" s="101"/>
      <c r="L78" s="101"/>
    </row>
    <row r="79" spans="2:12" x14ac:dyDescent="0.2">
      <c r="H79" s="31"/>
      <c r="I79" s="101"/>
      <c r="J79" s="101"/>
      <c r="K79" s="101"/>
      <c r="L79" s="101"/>
    </row>
    <row r="80" spans="2:12" x14ac:dyDescent="0.2">
      <c r="B80" s="44" t="s">
        <v>61</v>
      </c>
      <c r="H80" s="31"/>
      <c r="I80" s="101"/>
      <c r="J80" s="101"/>
      <c r="K80" s="101"/>
      <c r="L80" s="101"/>
    </row>
    <row r="81" spans="2:12" x14ac:dyDescent="0.2">
      <c r="H81" s="31"/>
      <c r="I81" s="101"/>
      <c r="J81" s="101"/>
      <c r="K81" s="101"/>
      <c r="L81" s="101"/>
    </row>
    <row r="82" spans="2:12" x14ac:dyDescent="0.2">
      <c r="B82" s="20" t="s">
        <v>101</v>
      </c>
      <c r="H82" s="31"/>
      <c r="I82" s="101"/>
      <c r="J82" s="101"/>
      <c r="K82" s="101"/>
      <c r="L82" s="101"/>
    </row>
    <row r="83" spans="2:12" x14ac:dyDescent="0.2">
      <c r="B83" s="20" t="s">
        <v>117</v>
      </c>
      <c r="H83" s="31"/>
      <c r="I83" s="101"/>
      <c r="J83" s="101"/>
      <c r="K83" s="101"/>
      <c r="L83" s="101"/>
    </row>
    <row r="84" spans="2:12" x14ac:dyDescent="0.2">
      <c r="H84" s="31"/>
      <c r="I84" s="101"/>
      <c r="J84" s="101"/>
      <c r="K84" s="101"/>
      <c r="L84" s="101"/>
    </row>
    <row r="85" spans="2:12" x14ac:dyDescent="0.2">
      <c r="B85" s="102" t="s">
        <v>176</v>
      </c>
    </row>
    <row r="86" spans="2:12" x14ac:dyDescent="0.2">
      <c r="B86" s="57"/>
    </row>
    <row r="87" spans="2:12" x14ac:dyDescent="0.2">
      <c r="B87" s="20" t="s">
        <v>164</v>
      </c>
    </row>
    <row r="88" spans="2:12" x14ac:dyDescent="0.2">
      <c r="B88" s="20" t="s">
        <v>194</v>
      </c>
    </row>
    <row r="89" spans="2:12" ht="15" x14ac:dyDescent="0.25">
      <c r="B89" s="55"/>
    </row>
    <row r="92" spans="2:12" ht="15.75" x14ac:dyDescent="0.3">
      <c r="B92" s="58" t="s">
        <v>82</v>
      </c>
    </row>
    <row r="93" spans="2:12" ht="15.75" x14ac:dyDescent="0.2">
      <c r="B93" s="59" t="s">
        <v>166</v>
      </c>
    </row>
    <row r="94" spans="2:12" x14ac:dyDescent="0.2">
      <c r="B94" s="59"/>
    </row>
    <row r="95" spans="2:12" x14ac:dyDescent="0.2">
      <c r="B95" s="20" t="s">
        <v>79</v>
      </c>
    </row>
    <row r="99" spans="2:6" x14ac:dyDescent="0.2">
      <c r="B99" s="20" t="s">
        <v>95</v>
      </c>
    </row>
    <row r="104" spans="2:6" ht="15.75" x14ac:dyDescent="0.3">
      <c r="B104" s="105" t="s">
        <v>193</v>
      </c>
    </row>
    <row r="105" spans="2:6" ht="15.75" x14ac:dyDescent="0.3">
      <c r="B105" s="105" t="s">
        <v>80</v>
      </c>
    </row>
    <row r="106" spans="2:6" ht="15.75" x14ac:dyDescent="0.3">
      <c r="B106" s="105" t="s">
        <v>81</v>
      </c>
    </row>
    <row r="107" spans="2:6" ht="15.75" x14ac:dyDescent="0.3">
      <c r="B107" s="105" t="s">
        <v>96</v>
      </c>
    </row>
    <row r="110" spans="2:6" x14ac:dyDescent="0.2">
      <c r="B110" s="103" t="s">
        <v>182</v>
      </c>
      <c r="C110" s="101"/>
      <c r="D110" s="101"/>
      <c r="E110" s="101"/>
      <c r="F110" s="101"/>
    </row>
    <row r="111" spans="2:6" x14ac:dyDescent="0.2">
      <c r="C111" s="101"/>
      <c r="D111" s="101"/>
      <c r="E111" s="101"/>
      <c r="F111" s="101"/>
    </row>
    <row r="112" spans="2:6" x14ac:dyDescent="0.2">
      <c r="B112" s="20" t="s">
        <v>187</v>
      </c>
      <c r="C112" s="101"/>
      <c r="D112" s="101"/>
      <c r="E112" s="101"/>
      <c r="F112" s="101"/>
    </row>
    <row r="113" spans="2:11" x14ac:dyDescent="0.2">
      <c r="B113" s="20" t="s">
        <v>188</v>
      </c>
      <c r="C113" s="101"/>
      <c r="D113" s="101"/>
      <c r="E113" s="101"/>
      <c r="F113" s="101"/>
    </row>
    <row r="114" spans="2:11" x14ac:dyDescent="0.2">
      <c r="B114" s="20" t="s">
        <v>183</v>
      </c>
      <c r="C114" s="101"/>
      <c r="D114" s="101"/>
      <c r="E114" s="101"/>
      <c r="F114" s="101"/>
    </row>
    <row r="115" spans="2:11" x14ac:dyDescent="0.2">
      <c r="C115" s="101"/>
      <c r="D115" s="101"/>
      <c r="E115" s="101"/>
      <c r="F115" s="101"/>
    </row>
    <row r="116" spans="2:11" x14ac:dyDescent="0.2">
      <c r="B116" s="57" t="s">
        <v>184</v>
      </c>
      <c r="C116" s="101"/>
      <c r="D116" s="101"/>
      <c r="E116" s="101"/>
      <c r="F116" s="101"/>
    </row>
    <row r="117" spans="2:11" x14ac:dyDescent="0.2">
      <c r="B117" s="31"/>
      <c r="C117" s="101"/>
      <c r="D117" s="101"/>
      <c r="E117" s="101"/>
      <c r="F117" s="101"/>
      <c r="H117" s="57" t="s">
        <v>185</v>
      </c>
      <c r="I117" s="20"/>
      <c r="J117" s="20"/>
      <c r="K117" s="20"/>
    </row>
    <row r="118" spans="2:11" ht="15" x14ac:dyDescent="0.25">
      <c r="B118" s="55"/>
      <c r="C118" s="101"/>
      <c r="D118" s="101"/>
      <c r="E118" s="101"/>
      <c r="F118" s="101"/>
      <c r="I118" s="20"/>
      <c r="J118" s="20"/>
      <c r="K118" s="20"/>
    </row>
    <row r="119" spans="2:11" x14ac:dyDescent="0.2">
      <c r="B119" s="60"/>
      <c r="C119" s="104"/>
      <c r="D119" s="104"/>
      <c r="E119" s="104"/>
      <c r="F119" s="104"/>
      <c r="I119" s="20"/>
      <c r="J119" s="20"/>
      <c r="K119" s="20"/>
    </row>
    <row r="120" spans="2:11" x14ac:dyDescent="0.2">
      <c r="C120" s="21"/>
      <c r="D120" s="22"/>
      <c r="E120" s="22"/>
      <c r="F120" s="22"/>
      <c r="I120" s="20"/>
      <c r="J120" s="20"/>
      <c r="K120" s="20"/>
    </row>
    <row r="121" spans="2:11" x14ac:dyDescent="0.2">
      <c r="C121" s="21"/>
      <c r="D121" s="22"/>
      <c r="E121" s="22"/>
      <c r="F121" s="22"/>
      <c r="I121" s="20"/>
      <c r="J121" s="20"/>
      <c r="K121" s="20"/>
    </row>
    <row r="122" spans="2:11" x14ac:dyDescent="0.2">
      <c r="B122" s="20" t="s">
        <v>83</v>
      </c>
      <c r="C122" s="21"/>
      <c r="D122" s="22"/>
      <c r="E122" s="22"/>
      <c r="F122" s="22"/>
      <c r="H122" s="20" t="s">
        <v>83</v>
      </c>
      <c r="I122" s="20"/>
      <c r="J122" s="20"/>
      <c r="K122" s="20"/>
    </row>
    <row r="123" spans="2:11" x14ac:dyDescent="0.2">
      <c r="C123" s="21"/>
      <c r="D123" s="22"/>
      <c r="E123" s="22"/>
      <c r="F123" s="22"/>
      <c r="I123" s="20"/>
      <c r="J123" s="20"/>
      <c r="K123" s="20"/>
    </row>
    <row r="124" spans="2:11" ht="15.75" x14ac:dyDescent="0.3">
      <c r="B124" s="105" t="s">
        <v>193</v>
      </c>
      <c r="C124" s="21"/>
      <c r="D124" s="22"/>
      <c r="E124" s="22"/>
      <c r="F124" s="22"/>
      <c r="I124" s="20"/>
      <c r="J124" s="20"/>
      <c r="K124" s="20"/>
    </row>
    <row r="125" spans="2:11" x14ac:dyDescent="0.2">
      <c r="B125" s="20" t="s">
        <v>88</v>
      </c>
      <c r="C125" s="21"/>
      <c r="D125" s="22"/>
      <c r="E125" s="22"/>
      <c r="F125" s="22"/>
      <c r="I125" s="20"/>
      <c r="J125" s="20"/>
      <c r="K125" s="20"/>
    </row>
    <row r="126" spans="2:11" ht="15.75" x14ac:dyDescent="0.3">
      <c r="B126" s="20" t="s">
        <v>87</v>
      </c>
      <c r="C126" s="21"/>
      <c r="D126" s="22"/>
      <c r="E126" s="22"/>
      <c r="F126" s="22"/>
      <c r="I126" s="20"/>
      <c r="J126" s="20"/>
      <c r="K126" s="20"/>
    </row>
    <row r="127" spans="2:11" ht="15.75" x14ac:dyDescent="0.3">
      <c r="B127" s="20" t="s">
        <v>85</v>
      </c>
      <c r="C127" s="21"/>
      <c r="D127" s="22"/>
      <c r="E127" s="22"/>
      <c r="F127" s="22"/>
      <c r="I127" s="20"/>
      <c r="J127" s="20"/>
      <c r="K127" s="20"/>
    </row>
    <row r="128" spans="2:11" ht="15.75" x14ac:dyDescent="0.3">
      <c r="B128" s="20" t="s">
        <v>86</v>
      </c>
      <c r="C128" s="21"/>
      <c r="D128" s="22"/>
      <c r="E128" s="22"/>
      <c r="F128" s="22"/>
      <c r="I128" s="20"/>
      <c r="J128" s="20"/>
      <c r="K128" s="20"/>
    </row>
    <row r="129" spans="2:10" ht="15.75" x14ac:dyDescent="0.3">
      <c r="B129" s="20" t="s">
        <v>84</v>
      </c>
      <c r="C129" s="21"/>
      <c r="D129" s="22"/>
      <c r="E129" s="22"/>
      <c r="F129" s="22"/>
      <c r="H129" s="105" t="s">
        <v>193</v>
      </c>
    </row>
    <row r="130" spans="2:10" ht="15.75" x14ac:dyDescent="0.3">
      <c r="C130" s="21"/>
      <c r="D130" s="22"/>
      <c r="E130" s="22"/>
      <c r="F130" s="22"/>
      <c r="H130" s="20" t="s">
        <v>85</v>
      </c>
    </row>
    <row r="131" spans="2:10" ht="15.75" x14ac:dyDescent="0.3">
      <c r="B131" s="20" t="s">
        <v>89</v>
      </c>
      <c r="C131" s="21"/>
      <c r="D131" s="22"/>
      <c r="E131" s="22"/>
      <c r="F131" s="22"/>
      <c r="H131" s="20" t="s">
        <v>86</v>
      </c>
    </row>
    <row r="132" spans="2:10" ht="15.75" x14ac:dyDescent="0.3">
      <c r="B132" s="20" t="s">
        <v>90</v>
      </c>
      <c r="C132" s="21"/>
      <c r="D132" s="22"/>
      <c r="E132" s="22"/>
      <c r="F132" s="22"/>
      <c r="H132" s="20" t="s">
        <v>84</v>
      </c>
    </row>
    <row r="133" spans="2:10" x14ac:dyDescent="0.2">
      <c r="C133" s="21"/>
      <c r="D133" s="22"/>
      <c r="E133" s="22"/>
      <c r="F133" s="22"/>
    </row>
    <row r="134" spans="2:10" x14ac:dyDescent="0.2">
      <c r="B134" s="57" t="s">
        <v>69</v>
      </c>
      <c r="C134" s="21"/>
      <c r="D134" s="22"/>
      <c r="E134" s="22"/>
      <c r="F134" s="22"/>
      <c r="H134" s="20" t="s">
        <v>186</v>
      </c>
      <c r="I134" s="20"/>
      <c r="J134" s="20"/>
    </row>
    <row r="135" spans="2:10" x14ac:dyDescent="0.2">
      <c r="C135" s="21"/>
      <c r="D135" s="22"/>
      <c r="E135" s="22"/>
      <c r="F135" s="22"/>
      <c r="I135" s="20"/>
      <c r="J135" s="20"/>
    </row>
    <row r="136" spans="2:10" x14ac:dyDescent="0.2">
      <c r="C136" s="21"/>
      <c r="D136" s="22"/>
      <c r="E136" s="22"/>
      <c r="F136" s="22"/>
    </row>
    <row r="137" spans="2:10" x14ac:dyDescent="0.2">
      <c r="C137" s="21"/>
      <c r="D137" s="22"/>
      <c r="E137" s="22"/>
      <c r="F137" s="22"/>
    </row>
    <row r="138" spans="2:10" x14ac:dyDescent="0.2">
      <c r="C138" s="21"/>
      <c r="D138" s="22"/>
      <c r="E138" s="22"/>
      <c r="F138" s="22"/>
    </row>
    <row r="139" spans="2:10" ht="15" x14ac:dyDescent="0.25">
      <c r="B139" s="55" t="s">
        <v>169</v>
      </c>
      <c r="C139" s="21"/>
      <c r="D139" s="22"/>
      <c r="E139" s="22"/>
      <c r="F139" s="22"/>
    </row>
    <row r="140" spans="2:10" x14ac:dyDescent="0.2">
      <c r="C140" s="21"/>
      <c r="D140" s="22"/>
      <c r="E140" s="22"/>
      <c r="F140" s="22"/>
    </row>
    <row r="141" spans="2:10" x14ac:dyDescent="0.2">
      <c r="B141" s="57" t="s">
        <v>70</v>
      </c>
      <c r="C141" s="21"/>
      <c r="D141" s="22"/>
      <c r="E141" s="22"/>
      <c r="F141" s="22"/>
    </row>
    <row r="142" spans="2:10" x14ac:dyDescent="0.2">
      <c r="C142" s="21"/>
      <c r="D142" s="22"/>
      <c r="E142" s="22"/>
      <c r="F142" s="22"/>
    </row>
    <row r="143" spans="2:10" ht="15" x14ac:dyDescent="0.25">
      <c r="B143" s="55"/>
      <c r="C143" s="21"/>
      <c r="D143" s="22"/>
      <c r="E143" s="22"/>
      <c r="F143" s="22"/>
    </row>
    <row r="144" spans="2:10" x14ac:dyDescent="0.2">
      <c r="C144" s="21"/>
      <c r="D144" s="22"/>
      <c r="E144" s="22"/>
      <c r="F144" s="22"/>
    </row>
    <row r="145" spans="2:8" x14ac:dyDescent="0.2">
      <c r="C145" s="21"/>
      <c r="D145" s="22"/>
      <c r="E145" s="22"/>
      <c r="F145" s="22"/>
    </row>
    <row r="146" spans="2:8" ht="15.75" x14ac:dyDescent="0.3">
      <c r="B146" s="58" t="s">
        <v>82</v>
      </c>
      <c r="C146" s="21"/>
      <c r="D146" s="22"/>
      <c r="E146" s="22"/>
      <c r="F146" s="22"/>
    </row>
    <row r="147" spans="2:8" ht="15.75" x14ac:dyDescent="0.2">
      <c r="B147" s="59" t="s">
        <v>166</v>
      </c>
      <c r="C147" s="21"/>
      <c r="D147" s="22"/>
      <c r="E147" s="22"/>
      <c r="F147" s="22"/>
    </row>
    <row r="148" spans="2:8" x14ac:dyDescent="0.2">
      <c r="B148" s="59"/>
      <c r="C148" s="21"/>
      <c r="D148" s="22"/>
      <c r="E148" s="22"/>
      <c r="F148" s="22"/>
    </row>
    <row r="149" spans="2:8" ht="15.75" x14ac:dyDescent="0.3">
      <c r="B149" s="60" t="s">
        <v>66</v>
      </c>
      <c r="C149" s="21"/>
      <c r="D149" s="22"/>
      <c r="E149" s="22"/>
      <c r="F149" s="22"/>
    </row>
    <row r="150" spans="2:8" x14ac:dyDescent="0.2">
      <c r="B150" s="60"/>
      <c r="C150" s="21"/>
      <c r="D150" s="22"/>
      <c r="E150" s="22"/>
      <c r="F150" s="22"/>
    </row>
    <row r="151" spans="2:8" x14ac:dyDescent="0.2">
      <c r="H151" s="60"/>
    </row>
    <row r="152" spans="2:8" x14ac:dyDescent="0.2">
      <c r="B152" s="44" t="s">
        <v>74</v>
      </c>
    </row>
    <row r="154" spans="2:8" x14ac:dyDescent="0.2">
      <c r="B154" s="20" t="s">
        <v>92</v>
      </c>
    </row>
    <row r="156" spans="2:8" x14ac:dyDescent="0.2">
      <c r="B156" s="61" t="s">
        <v>91</v>
      </c>
    </row>
    <row r="157" spans="2:8" x14ac:dyDescent="0.2">
      <c r="B157" s="61" t="s">
        <v>75</v>
      </c>
    </row>
    <row r="158" spans="2:8" x14ac:dyDescent="0.2">
      <c r="B158" s="61"/>
    </row>
    <row r="159" spans="2:8" x14ac:dyDescent="0.2">
      <c r="B159" s="61" t="s">
        <v>189</v>
      </c>
    </row>
    <row r="160" spans="2:8" x14ac:dyDescent="0.2">
      <c r="B160" s="61"/>
    </row>
    <row r="161" spans="2:5" x14ac:dyDescent="0.2">
      <c r="B161" s="61" t="s">
        <v>190</v>
      </c>
    </row>
    <row r="164" spans="2:5" x14ac:dyDescent="0.2">
      <c r="B164" s="44" t="s">
        <v>78</v>
      </c>
    </row>
    <row r="165" spans="2:5" ht="13.5" thickBot="1" x14ac:dyDescent="0.25"/>
    <row r="166" spans="2:5" x14ac:dyDescent="0.2">
      <c r="B166" s="24" t="s">
        <v>3</v>
      </c>
      <c r="C166" s="25" t="s">
        <v>207</v>
      </c>
      <c r="D166" s="25" t="s">
        <v>208</v>
      </c>
      <c r="E166" s="100"/>
    </row>
    <row r="167" spans="2:5" ht="13.5" thickBot="1" x14ac:dyDescent="0.25">
      <c r="B167" s="106"/>
      <c r="C167" s="107"/>
      <c r="D167" s="70"/>
      <c r="E167" s="100"/>
    </row>
    <row r="168" spans="2:5" x14ac:dyDescent="0.2">
      <c r="B168" s="32" t="s">
        <v>4</v>
      </c>
      <c r="C168" s="108">
        <v>8000</v>
      </c>
      <c r="D168" s="108">
        <v>12000</v>
      </c>
      <c r="E168" s="101"/>
    </row>
    <row r="169" spans="2:5" x14ac:dyDescent="0.2">
      <c r="B169" s="34" t="s">
        <v>5</v>
      </c>
      <c r="C169" s="109">
        <v>7000</v>
      </c>
      <c r="D169" s="109">
        <v>10000</v>
      </c>
      <c r="E169" s="101"/>
    </row>
    <row r="170" spans="2:5" x14ac:dyDescent="0.2">
      <c r="B170" s="34" t="s">
        <v>6</v>
      </c>
      <c r="C170" s="109">
        <v>7000</v>
      </c>
      <c r="D170" s="109">
        <v>9000</v>
      </c>
      <c r="E170" s="101"/>
    </row>
    <row r="171" spans="2:5" x14ac:dyDescent="0.2">
      <c r="B171" s="34" t="s">
        <v>7</v>
      </c>
      <c r="C171" s="109">
        <v>7000</v>
      </c>
      <c r="D171" s="109">
        <v>9000</v>
      </c>
      <c r="E171" s="101"/>
    </row>
    <row r="172" spans="2:5" x14ac:dyDescent="0.2">
      <c r="B172" s="34" t="s">
        <v>8</v>
      </c>
      <c r="C172" s="109">
        <v>7000</v>
      </c>
      <c r="D172" s="109">
        <v>8000</v>
      </c>
      <c r="E172" s="101"/>
    </row>
    <row r="173" spans="2:5" x14ac:dyDescent="0.2">
      <c r="B173" s="34" t="s">
        <v>9</v>
      </c>
      <c r="C173" s="109">
        <v>7000</v>
      </c>
      <c r="D173" s="109">
        <v>8000</v>
      </c>
      <c r="E173" s="101"/>
    </row>
    <row r="174" spans="2:5" x14ac:dyDescent="0.2">
      <c r="B174" s="34" t="s">
        <v>10</v>
      </c>
      <c r="C174" s="109">
        <v>7000</v>
      </c>
      <c r="D174" s="109">
        <v>6000</v>
      </c>
      <c r="E174" s="101"/>
    </row>
    <row r="175" spans="2:5" x14ac:dyDescent="0.2">
      <c r="B175" s="34" t="s">
        <v>11</v>
      </c>
      <c r="C175" s="109">
        <v>7000</v>
      </c>
      <c r="D175" s="109">
        <v>6000</v>
      </c>
      <c r="E175" s="101"/>
    </row>
    <row r="176" spans="2:5" x14ac:dyDescent="0.2">
      <c r="B176" s="34" t="s">
        <v>12</v>
      </c>
      <c r="C176" s="109">
        <v>7000</v>
      </c>
      <c r="D176" s="109">
        <v>6000</v>
      </c>
      <c r="E176" s="101"/>
    </row>
    <row r="177" spans="2:5" x14ac:dyDescent="0.2">
      <c r="B177" s="34" t="s">
        <v>13</v>
      </c>
      <c r="C177" s="109">
        <v>7000</v>
      </c>
      <c r="D177" s="109">
        <v>6000</v>
      </c>
      <c r="E177" s="101"/>
    </row>
    <row r="178" spans="2:5" x14ac:dyDescent="0.2">
      <c r="B178" s="34" t="s">
        <v>14</v>
      </c>
      <c r="C178" s="109">
        <v>7000</v>
      </c>
      <c r="D178" s="109">
        <v>5000</v>
      </c>
      <c r="E178" s="101"/>
    </row>
    <row r="179" spans="2:5" x14ac:dyDescent="0.2">
      <c r="B179" s="34" t="s">
        <v>15</v>
      </c>
      <c r="C179" s="109">
        <v>6000</v>
      </c>
      <c r="D179" s="109">
        <v>4000</v>
      </c>
      <c r="E179" s="101"/>
    </row>
    <row r="180" spans="2:5" x14ac:dyDescent="0.2">
      <c r="B180" s="34" t="s">
        <v>16</v>
      </c>
      <c r="C180" s="109">
        <v>5000</v>
      </c>
      <c r="D180" s="109">
        <v>4000</v>
      </c>
      <c r="E180" s="101"/>
    </row>
    <row r="181" spans="2:5" x14ac:dyDescent="0.2">
      <c r="B181" s="34" t="s">
        <v>17</v>
      </c>
      <c r="C181" s="109">
        <v>4000</v>
      </c>
      <c r="D181" s="109">
        <v>3000</v>
      </c>
      <c r="E181" s="101"/>
    </row>
    <row r="182" spans="2:5" x14ac:dyDescent="0.2">
      <c r="B182" s="34" t="s">
        <v>18</v>
      </c>
      <c r="C182" s="109">
        <v>3000</v>
      </c>
      <c r="D182" s="109">
        <v>2000</v>
      </c>
      <c r="E182" s="101"/>
    </row>
    <row r="183" spans="2:5" x14ac:dyDescent="0.2">
      <c r="B183" s="34" t="s">
        <v>19</v>
      </c>
      <c r="C183" s="109">
        <v>2000</v>
      </c>
      <c r="D183" s="109">
        <v>1000</v>
      </c>
      <c r="E183" s="101"/>
    </row>
    <row r="184" spans="2:5" x14ac:dyDescent="0.2">
      <c r="B184" s="34" t="s">
        <v>20</v>
      </c>
      <c r="C184" s="109">
        <v>1000</v>
      </c>
      <c r="D184" s="109">
        <v>500</v>
      </c>
      <c r="E184" s="101"/>
    </row>
    <row r="185" spans="2:5" ht="13.5" thickBot="1" x14ac:dyDescent="0.25">
      <c r="B185" s="36" t="s">
        <v>21</v>
      </c>
      <c r="C185" s="110">
        <v>1000</v>
      </c>
      <c r="D185" s="110">
        <v>500</v>
      </c>
      <c r="E185" s="101"/>
    </row>
    <row r="186" spans="2:5" ht="13.5" thickBot="1" x14ac:dyDescent="0.25">
      <c r="B186" s="9" t="s">
        <v>31</v>
      </c>
      <c r="C186" s="81">
        <f t="shared" ref="C186:D186" si="7">SUM(C168:C185)</f>
        <v>100000</v>
      </c>
      <c r="D186" s="81">
        <f t="shared" si="7"/>
        <v>100000</v>
      </c>
      <c r="E186" s="104"/>
    </row>
  </sheetData>
  <sheetProtection sheet="1" objects="1" scenarios="1"/>
  <mergeCells count="99">
    <mergeCell ref="Q26:S26"/>
    <mergeCell ref="Q27:S27"/>
    <mergeCell ref="Q28:S28"/>
    <mergeCell ref="Q29:S29"/>
    <mergeCell ref="Q6:S6"/>
    <mergeCell ref="Q7:S7"/>
    <mergeCell ref="Q8:S8"/>
    <mergeCell ref="Q9:S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2:S22"/>
    <mergeCell ref="Q23:S23"/>
    <mergeCell ref="Q24:S24"/>
    <mergeCell ref="Q25:S25"/>
    <mergeCell ref="Q19:S19"/>
    <mergeCell ref="Q20:S20"/>
    <mergeCell ref="B64:C64"/>
    <mergeCell ref="B65:C65"/>
    <mergeCell ref="N29:P29"/>
    <mergeCell ref="N24:P24"/>
    <mergeCell ref="N25:P25"/>
    <mergeCell ref="N26:P26"/>
    <mergeCell ref="N27:P27"/>
    <mergeCell ref="N28:P28"/>
    <mergeCell ref="D57:G57"/>
    <mergeCell ref="D58:G58"/>
    <mergeCell ref="E59:G59"/>
    <mergeCell ref="E60:G60"/>
    <mergeCell ref="E28:G28"/>
    <mergeCell ref="E29:G29"/>
    <mergeCell ref="B58:C58"/>
    <mergeCell ref="N6:P6"/>
    <mergeCell ref="N7:P7"/>
    <mergeCell ref="N8:P8"/>
    <mergeCell ref="N9:P9"/>
    <mergeCell ref="N11:P11"/>
    <mergeCell ref="N12:P12"/>
    <mergeCell ref="N13:P13"/>
    <mergeCell ref="N14:P14"/>
    <mergeCell ref="N15:P15"/>
    <mergeCell ref="N16:P16"/>
    <mergeCell ref="N17:P17"/>
    <mergeCell ref="N18:P18"/>
    <mergeCell ref="E25:G25"/>
    <mergeCell ref="E26:G26"/>
    <mergeCell ref="E27:G27"/>
    <mergeCell ref="K21:M21"/>
    <mergeCell ref="K22:M22"/>
    <mergeCell ref="K23:M23"/>
    <mergeCell ref="K24:M24"/>
    <mergeCell ref="E19:G19"/>
    <mergeCell ref="N19:P19"/>
    <mergeCell ref="N20:P20"/>
    <mergeCell ref="N21:P21"/>
    <mergeCell ref="N22:P22"/>
    <mergeCell ref="N23:P23"/>
    <mergeCell ref="E6:G6"/>
    <mergeCell ref="E11:G11"/>
    <mergeCell ref="E12:G12"/>
    <mergeCell ref="E13:G13"/>
    <mergeCell ref="E8:G8"/>
    <mergeCell ref="E15:G15"/>
    <mergeCell ref="E16:G16"/>
    <mergeCell ref="E17:G17"/>
    <mergeCell ref="E18:G18"/>
    <mergeCell ref="E7:G7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6:M6"/>
    <mergeCell ref="K7:M7"/>
    <mergeCell ref="K8:M8"/>
    <mergeCell ref="B48:C48"/>
    <mergeCell ref="B57:C57"/>
    <mergeCell ref="K25:M25"/>
    <mergeCell ref="K26:M26"/>
    <mergeCell ref="K27:M27"/>
    <mergeCell ref="K28:M28"/>
    <mergeCell ref="K29:M29"/>
    <mergeCell ref="E24:G24"/>
    <mergeCell ref="E20:G20"/>
    <mergeCell ref="E21:G21"/>
    <mergeCell ref="E22:G22"/>
    <mergeCell ref="E23:G23"/>
    <mergeCell ref="E14:G1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92"/>
  <sheetViews>
    <sheetView workbookViewId="0">
      <selection activeCell="G30" sqref="G30"/>
    </sheetView>
  </sheetViews>
  <sheetFormatPr baseColWidth="10" defaultRowHeight="12.75" x14ac:dyDescent="0.2"/>
  <cols>
    <col min="1" max="1" width="5.140625" style="20" customWidth="1"/>
    <col min="2" max="2" width="21.85546875" style="20" customWidth="1"/>
    <col min="3" max="3" width="26.42578125" style="20" customWidth="1"/>
    <col min="4" max="4" width="28.42578125" style="20" customWidth="1"/>
    <col min="5" max="5" width="25.5703125" style="20" customWidth="1"/>
    <col min="6" max="6" width="28.42578125" style="20" customWidth="1"/>
    <col min="7" max="7" width="25" style="21" customWidth="1"/>
    <col min="8" max="8" width="28.28515625" style="22" customWidth="1"/>
    <col min="9" max="16384" width="11.42578125" style="20"/>
  </cols>
  <sheetData>
    <row r="3" spans="2:9" ht="18" x14ac:dyDescent="0.25">
      <c r="B3" s="19" t="s">
        <v>22</v>
      </c>
    </row>
    <row r="5" spans="2:9" ht="13.5" thickBot="1" x14ac:dyDescent="0.25">
      <c r="C5" s="21"/>
      <c r="H5" s="23"/>
    </row>
    <row r="6" spans="2:9" s="27" customFormat="1" ht="51" x14ac:dyDescent="0.2">
      <c r="B6" s="24" t="s">
        <v>3</v>
      </c>
      <c r="C6" s="25" t="s">
        <v>97</v>
      </c>
      <c r="D6" s="25" t="s">
        <v>23</v>
      </c>
      <c r="E6" s="25" t="s">
        <v>24</v>
      </c>
      <c r="F6" s="25" t="s">
        <v>25</v>
      </c>
      <c r="G6" s="25" t="s">
        <v>26</v>
      </c>
      <c r="H6" s="25" t="s">
        <v>179</v>
      </c>
      <c r="I6" s="26"/>
    </row>
    <row r="7" spans="2:9" ht="16.5" thickBot="1" x14ac:dyDescent="0.35">
      <c r="B7" s="28"/>
      <c r="C7" s="29" t="s">
        <v>27</v>
      </c>
      <c r="D7" s="29" t="s">
        <v>28</v>
      </c>
      <c r="E7" s="30"/>
      <c r="F7" s="30"/>
      <c r="G7" s="29" t="s">
        <v>29</v>
      </c>
      <c r="H7" s="30" t="s">
        <v>30</v>
      </c>
      <c r="I7" s="31"/>
    </row>
    <row r="8" spans="2:9" x14ac:dyDescent="0.2">
      <c r="B8" s="32" t="s">
        <v>4</v>
      </c>
      <c r="C8" s="1">
        <v>0</v>
      </c>
      <c r="D8" s="2">
        <v>2442</v>
      </c>
      <c r="E8" s="1">
        <v>0</v>
      </c>
      <c r="F8" s="2">
        <v>274063</v>
      </c>
      <c r="G8" s="65">
        <f>E8/F8*100000</f>
        <v>0</v>
      </c>
      <c r="H8" s="33">
        <f>D8*G8/100000</f>
        <v>0</v>
      </c>
      <c r="I8" s="31"/>
    </row>
    <row r="9" spans="2:9" x14ac:dyDescent="0.2">
      <c r="B9" s="34" t="s">
        <v>5</v>
      </c>
      <c r="C9" s="3">
        <v>0</v>
      </c>
      <c r="D9" s="4">
        <v>2333</v>
      </c>
      <c r="E9" s="5">
        <v>0</v>
      </c>
      <c r="F9" s="4">
        <v>290229</v>
      </c>
      <c r="G9" s="66">
        <f t="shared" ref="G9:G25" si="0">E9/F9*100000</f>
        <v>0</v>
      </c>
      <c r="H9" s="35">
        <f t="shared" ref="H9:H25" si="1">D9*G9/100000</f>
        <v>0</v>
      </c>
      <c r="I9" s="31"/>
    </row>
    <row r="10" spans="2:9" x14ac:dyDescent="0.2">
      <c r="B10" s="34" t="s">
        <v>6</v>
      </c>
      <c r="C10" s="5">
        <v>0</v>
      </c>
      <c r="D10" s="4">
        <v>2336</v>
      </c>
      <c r="E10" s="5">
        <v>1</v>
      </c>
      <c r="F10" s="4">
        <v>328487</v>
      </c>
      <c r="G10" s="66">
        <f t="shared" si="0"/>
        <v>0.30442605034598019</v>
      </c>
      <c r="H10" s="35">
        <f t="shared" si="1"/>
        <v>7.1113925360820974E-3</v>
      </c>
      <c r="I10" s="31"/>
    </row>
    <row r="11" spans="2:9" x14ac:dyDescent="0.2">
      <c r="B11" s="34" t="s">
        <v>7</v>
      </c>
      <c r="C11" s="5">
        <v>0</v>
      </c>
      <c r="D11" s="4">
        <v>2439</v>
      </c>
      <c r="E11" s="5">
        <v>2</v>
      </c>
      <c r="F11" s="4">
        <v>352652</v>
      </c>
      <c r="G11" s="66">
        <f t="shared" si="0"/>
        <v>0.56713133627485457</v>
      </c>
      <c r="H11" s="35">
        <f t="shared" si="1"/>
        <v>1.3832333291743703E-2</v>
      </c>
      <c r="I11" s="31"/>
    </row>
    <row r="12" spans="2:9" x14ac:dyDescent="0.2">
      <c r="B12" s="34" t="s">
        <v>8</v>
      </c>
      <c r="C12" s="5">
        <v>0</v>
      </c>
      <c r="D12" s="4">
        <v>3837</v>
      </c>
      <c r="E12" s="5">
        <v>6</v>
      </c>
      <c r="F12" s="4">
        <v>390451</v>
      </c>
      <c r="G12" s="66">
        <f t="shared" si="0"/>
        <v>1.5366845007440113</v>
      </c>
      <c r="H12" s="35">
        <f t="shared" si="1"/>
        <v>5.8962584293547712E-2</v>
      </c>
      <c r="I12" s="31"/>
    </row>
    <row r="13" spans="2:9" x14ac:dyDescent="0.2">
      <c r="B13" s="34" t="s">
        <v>9</v>
      </c>
      <c r="C13" s="5">
        <v>1</v>
      </c>
      <c r="D13" s="4">
        <v>4840</v>
      </c>
      <c r="E13" s="5">
        <v>14</v>
      </c>
      <c r="F13" s="4">
        <v>386600</v>
      </c>
      <c r="G13" s="66">
        <f t="shared" si="0"/>
        <v>3.6213140196585618</v>
      </c>
      <c r="H13" s="35">
        <f t="shared" si="1"/>
        <v>0.17527159855147437</v>
      </c>
      <c r="I13" s="31"/>
    </row>
    <row r="14" spans="2:9" x14ac:dyDescent="0.2">
      <c r="B14" s="34" t="s">
        <v>10</v>
      </c>
      <c r="C14" s="5">
        <v>0</v>
      </c>
      <c r="D14" s="4">
        <v>4210</v>
      </c>
      <c r="E14" s="5">
        <v>21</v>
      </c>
      <c r="F14" s="4">
        <v>383334</v>
      </c>
      <c r="G14" s="66">
        <f t="shared" si="0"/>
        <v>5.4782513421715793</v>
      </c>
      <c r="H14" s="35">
        <f t="shared" si="1"/>
        <v>0.23063438150542348</v>
      </c>
      <c r="I14" s="31"/>
    </row>
    <row r="15" spans="2:9" x14ac:dyDescent="0.2">
      <c r="B15" s="34" t="s">
        <v>11</v>
      </c>
      <c r="C15" s="5">
        <v>0</v>
      </c>
      <c r="D15" s="4">
        <v>3253</v>
      </c>
      <c r="E15" s="5">
        <v>31</v>
      </c>
      <c r="F15" s="4">
        <v>399539</v>
      </c>
      <c r="G15" s="66">
        <f t="shared" si="0"/>
        <v>7.7589421808634453</v>
      </c>
      <c r="H15" s="35">
        <f t="shared" si="1"/>
        <v>0.25239838914348789</v>
      </c>
      <c r="I15" s="31"/>
    </row>
    <row r="16" spans="2:9" x14ac:dyDescent="0.2">
      <c r="B16" s="34" t="s">
        <v>12</v>
      </c>
      <c r="C16" s="5">
        <v>0</v>
      </c>
      <c r="D16" s="4">
        <v>4018</v>
      </c>
      <c r="E16" s="5">
        <v>83</v>
      </c>
      <c r="F16" s="4">
        <v>531482</v>
      </c>
      <c r="G16" s="66">
        <f t="shared" si="0"/>
        <v>15.616709502861807</v>
      </c>
      <c r="H16" s="35">
        <f t="shared" si="1"/>
        <v>0.62747938782498747</v>
      </c>
      <c r="I16" s="31"/>
    </row>
    <row r="17" spans="2:9" x14ac:dyDescent="0.2">
      <c r="B17" s="34" t="s">
        <v>13</v>
      </c>
      <c r="C17" s="5">
        <v>0</v>
      </c>
      <c r="D17" s="4">
        <v>4412</v>
      </c>
      <c r="E17" s="5">
        <v>154</v>
      </c>
      <c r="F17" s="4">
        <v>552724</v>
      </c>
      <c r="G17" s="66">
        <f t="shared" si="0"/>
        <v>27.862007077673489</v>
      </c>
      <c r="H17" s="35">
        <f t="shared" si="1"/>
        <v>1.2292717522669543</v>
      </c>
      <c r="I17" s="31"/>
    </row>
    <row r="18" spans="2:9" x14ac:dyDescent="0.2">
      <c r="B18" s="34" t="s">
        <v>14</v>
      </c>
      <c r="C18" s="5">
        <v>1</v>
      </c>
      <c r="D18" s="4">
        <v>3772</v>
      </c>
      <c r="E18" s="5">
        <v>270</v>
      </c>
      <c r="F18" s="4">
        <v>474483</v>
      </c>
      <c r="G18" s="66">
        <f t="shared" si="0"/>
        <v>56.904040819165282</v>
      </c>
      <c r="H18" s="35">
        <f t="shared" si="1"/>
        <v>2.1464204196989143</v>
      </c>
      <c r="I18" s="31"/>
    </row>
    <row r="19" spans="2:9" x14ac:dyDescent="0.2">
      <c r="B19" s="34" t="s">
        <v>15</v>
      </c>
      <c r="C19" s="5">
        <v>4</v>
      </c>
      <c r="D19" s="4">
        <v>2877</v>
      </c>
      <c r="E19" s="5">
        <v>419</v>
      </c>
      <c r="F19" s="4">
        <v>391163</v>
      </c>
      <c r="G19" s="66">
        <f t="shared" si="0"/>
        <v>107.11647062733439</v>
      </c>
      <c r="H19" s="35">
        <f t="shared" si="1"/>
        <v>3.0817408599484106</v>
      </c>
      <c r="I19" s="31"/>
    </row>
    <row r="20" spans="2:9" x14ac:dyDescent="0.2">
      <c r="B20" s="34" t="s">
        <v>16</v>
      </c>
      <c r="C20" s="5">
        <v>4</v>
      </c>
      <c r="D20" s="4">
        <v>2532</v>
      </c>
      <c r="E20" s="5">
        <v>577</v>
      </c>
      <c r="F20" s="4">
        <v>349932</v>
      </c>
      <c r="G20" s="66">
        <f t="shared" si="0"/>
        <v>164.8891784689597</v>
      </c>
      <c r="H20" s="35">
        <f t="shared" si="1"/>
        <v>4.1749939988340596</v>
      </c>
      <c r="I20" s="31"/>
    </row>
    <row r="21" spans="2:9" x14ac:dyDescent="0.2">
      <c r="B21" s="34" t="s">
        <v>17</v>
      </c>
      <c r="C21" s="5">
        <v>7</v>
      </c>
      <c r="D21" s="4">
        <v>2340</v>
      </c>
      <c r="E21" s="5">
        <v>787</v>
      </c>
      <c r="F21" s="4">
        <v>308865</v>
      </c>
      <c r="G21" s="66">
        <f t="shared" si="0"/>
        <v>254.80387871723892</v>
      </c>
      <c r="H21" s="35">
        <f t="shared" si="1"/>
        <v>5.9624107619833913</v>
      </c>
      <c r="I21" s="31"/>
    </row>
    <row r="22" spans="2:9" x14ac:dyDescent="0.2">
      <c r="B22" s="34" t="s">
        <v>18</v>
      </c>
      <c r="C22" s="5">
        <v>9</v>
      </c>
      <c r="D22" s="4">
        <v>2442</v>
      </c>
      <c r="E22" s="5">
        <v>1008</v>
      </c>
      <c r="F22" s="4">
        <v>329606</v>
      </c>
      <c r="G22" s="66">
        <f>E22/F22*100000</f>
        <v>305.81967561270119</v>
      </c>
      <c r="H22" s="35">
        <f t="shared" si="1"/>
        <v>7.4681164784621634</v>
      </c>
      <c r="I22" s="31"/>
    </row>
    <row r="23" spans="2:9" x14ac:dyDescent="0.2">
      <c r="B23" s="34" t="s">
        <v>19</v>
      </c>
      <c r="C23" s="5">
        <v>8</v>
      </c>
      <c r="D23" s="4">
        <v>1598</v>
      </c>
      <c r="E23" s="5">
        <v>808</v>
      </c>
      <c r="F23" s="4">
        <v>201047</v>
      </c>
      <c r="G23" s="66">
        <f t="shared" si="0"/>
        <v>401.89607405233596</v>
      </c>
      <c r="H23" s="35">
        <f t="shared" si="1"/>
        <v>6.4222992633563294</v>
      </c>
      <c r="I23" s="31"/>
    </row>
    <row r="24" spans="2:9" x14ac:dyDescent="0.2">
      <c r="B24" s="34" t="s">
        <v>20</v>
      </c>
      <c r="C24" s="5">
        <v>6</v>
      </c>
      <c r="D24" s="4">
        <v>1182</v>
      </c>
      <c r="E24" s="5">
        <v>665</v>
      </c>
      <c r="F24" s="4">
        <v>131955</v>
      </c>
      <c r="G24" s="66">
        <f t="shared" si="0"/>
        <v>503.95968322534191</v>
      </c>
      <c r="H24" s="35">
        <f t="shared" si="1"/>
        <v>5.9568034557235414</v>
      </c>
      <c r="I24" s="31"/>
    </row>
    <row r="25" spans="2:9" ht="13.5" thickBot="1" x14ac:dyDescent="0.25">
      <c r="B25" s="36" t="s">
        <v>21</v>
      </c>
      <c r="C25" s="6">
        <v>4</v>
      </c>
      <c r="D25" s="7">
        <v>899</v>
      </c>
      <c r="E25" s="6">
        <v>451</v>
      </c>
      <c r="F25" s="7">
        <v>81827</v>
      </c>
      <c r="G25" s="67">
        <f t="shared" si="0"/>
        <v>551.16281911838394</v>
      </c>
      <c r="H25" s="37">
        <f t="shared" si="1"/>
        <v>4.9549537438742721</v>
      </c>
      <c r="I25" s="31"/>
    </row>
    <row r="26" spans="2:9" ht="13.5" thickBot="1" x14ac:dyDescent="0.25">
      <c r="B26" s="9" t="s">
        <v>31</v>
      </c>
      <c r="C26" s="8">
        <f>SUM(C8:C25)</f>
        <v>44</v>
      </c>
      <c r="D26" s="9">
        <f>SUM(D8:D25)</f>
        <v>51762</v>
      </c>
      <c r="E26" s="9">
        <f>SUM(E8:E25)</f>
        <v>5297</v>
      </c>
      <c r="F26" s="9">
        <f>SUM(F8:F25)</f>
        <v>6158439</v>
      </c>
      <c r="G26" s="38"/>
      <c r="H26" s="39">
        <f>SUM(H8:H25)</f>
        <v>42.762700801294784</v>
      </c>
      <c r="I26" s="31"/>
    </row>
    <row r="27" spans="2:9" x14ac:dyDescent="0.2">
      <c r="B27" s="31"/>
      <c r="C27" s="40"/>
      <c r="D27" s="31"/>
      <c r="E27" s="41"/>
      <c r="F27" s="31"/>
      <c r="G27" s="42"/>
      <c r="H27" s="43"/>
      <c r="I27" s="31"/>
    </row>
    <row r="28" spans="2:9" x14ac:dyDescent="0.2">
      <c r="B28" s="44" t="s">
        <v>32</v>
      </c>
      <c r="C28" s="21"/>
    </row>
    <row r="29" spans="2:9" ht="13.5" thickBot="1" x14ac:dyDescent="0.25">
      <c r="B29" s="44"/>
      <c r="C29" s="21"/>
    </row>
    <row r="30" spans="2:9" x14ac:dyDescent="0.2">
      <c r="B30" s="45" t="s">
        <v>33</v>
      </c>
      <c r="C30" s="46" t="s">
        <v>34</v>
      </c>
      <c r="D30" s="47" t="s">
        <v>35</v>
      </c>
      <c r="H30" s="48"/>
    </row>
    <row r="31" spans="2:9" ht="13.5" thickBot="1" x14ac:dyDescent="0.25">
      <c r="B31" s="29" t="s">
        <v>2</v>
      </c>
      <c r="C31" s="30" t="s">
        <v>36</v>
      </c>
      <c r="D31" s="28" t="s">
        <v>37</v>
      </c>
      <c r="G31" s="49"/>
    </row>
    <row r="32" spans="2:9" ht="13.5" thickBot="1" x14ac:dyDescent="0.25">
      <c r="B32" s="63">
        <f>C26</f>
        <v>44</v>
      </c>
      <c r="C32" s="64">
        <f>H26</f>
        <v>42.762700801294784</v>
      </c>
      <c r="D32" s="50">
        <f>B32/C32</f>
        <v>1.0289340751524223</v>
      </c>
      <c r="E32" s="31"/>
      <c r="F32" s="31"/>
      <c r="G32" s="51"/>
    </row>
    <row r="34" spans="2:8" x14ac:dyDescent="0.2">
      <c r="B34" s="44" t="s">
        <v>51</v>
      </c>
      <c r="C34" s="20" t="s">
        <v>52</v>
      </c>
      <c r="G34" s="20"/>
      <c r="H34" s="20"/>
    </row>
    <row r="35" spans="2:8" ht="13.5" thickBot="1" x14ac:dyDescent="0.25">
      <c r="G35" s="20"/>
      <c r="H35" s="20"/>
    </row>
    <row r="36" spans="2:8" x14ac:dyDescent="0.2">
      <c r="B36" s="52" t="s">
        <v>38</v>
      </c>
      <c r="C36" s="131" t="s">
        <v>39</v>
      </c>
      <c r="D36" s="132"/>
      <c r="E36" s="133" t="s">
        <v>40</v>
      </c>
      <c r="F36" s="134"/>
      <c r="G36" s="20"/>
      <c r="H36" s="20"/>
    </row>
    <row r="37" spans="2:8" ht="13.5" thickBot="1" x14ac:dyDescent="0.25">
      <c r="B37" s="28" t="s">
        <v>41</v>
      </c>
      <c r="C37" s="53" t="s">
        <v>0</v>
      </c>
      <c r="D37" s="54" t="s">
        <v>1</v>
      </c>
      <c r="E37" s="53" t="s">
        <v>0</v>
      </c>
      <c r="F37" s="54" t="s">
        <v>1</v>
      </c>
      <c r="G37" s="20"/>
      <c r="H37" s="20"/>
    </row>
    <row r="38" spans="2:8" ht="13.5" thickBot="1" x14ac:dyDescent="0.25">
      <c r="B38" s="10">
        <v>95</v>
      </c>
      <c r="C38" s="50">
        <f>IF(B32=0, 0, _xlfn.CHISQ.INV.RT((1+B38/100)/2,2*B32)/2)/C32</f>
        <v>0.74762507416688506</v>
      </c>
      <c r="D38" s="50">
        <f>(_xlfn.CHISQ.INV.RT((1-B38/100)/2,2*(B32+1))/2)/C32</f>
        <v>1.3812959699336687</v>
      </c>
      <c r="E38" s="50">
        <f>IF(B32=0, 0,B32*POWER(1-(1/(9*B32))-(_xlfn.NORM.S.INV((1+B38/100)/2)/(3*SQRT(B32))),3))/C32</f>
        <v>0.74755262736944617</v>
      </c>
      <c r="F38" s="50">
        <f>(B32+1)*POWER(1-(1/(9*(B32+1)))+(_xlfn.NORM.S.INV((1+B38/100)/2)/(3*SQRT(B32+1))),3)/C32</f>
        <v>1.3813293506908169</v>
      </c>
      <c r="G38" s="20"/>
      <c r="H38" s="20"/>
    </row>
    <row r="42" spans="2:8" x14ac:dyDescent="0.2">
      <c r="B42" s="44" t="s">
        <v>77</v>
      </c>
    </row>
    <row r="44" spans="2:8" x14ac:dyDescent="0.2">
      <c r="B44" s="20" t="s">
        <v>71</v>
      </c>
    </row>
    <row r="46" spans="2:8" x14ac:dyDescent="0.2">
      <c r="B46" s="20" t="s">
        <v>72</v>
      </c>
    </row>
    <row r="47" spans="2:8" x14ac:dyDescent="0.2">
      <c r="B47" s="20" t="s">
        <v>73</v>
      </c>
    </row>
    <row r="49" spans="2:5" ht="15.75" x14ac:dyDescent="0.3">
      <c r="B49" s="20" t="s">
        <v>65</v>
      </c>
    </row>
    <row r="50" spans="2:5" x14ac:dyDescent="0.2">
      <c r="B50" s="20" t="s">
        <v>60</v>
      </c>
    </row>
    <row r="52" spans="2:5" x14ac:dyDescent="0.2">
      <c r="B52" s="20" t="s">
        <v>62</v>
      </c>
    </row>
    <row r="53" spans="2:5" x14ac:dyDescent="0.2">
      <c r="B53" s="20" t="s">
        <v>210</v>
      </c>
    </row>
    <row r="55" spans="2:5" x14ac:dyDescent="0.2">
      <c r="B55" s="44" t="s">
        <v>61</v>
      </c>
    </row>
    <row r="57" spans="2:5" x14ac:dyDescent="0.2">
      <c r="B57" s="20" t="s">
        <v>63</v>
      </c>
    </row>
    <row r="58" spans="2:5" x14ac:dyDescent="0.2">
      <c r="B58" s="20" t="s">
        <v>64</v>
      </c>
    </row>
    <row r="59" spans="2:5" x14ac:dyDescent="0.2">
      <c r="B59" s="20" t="s">
        <v>167</v>
      </c>
    </row>
    <row r="61" spans="2:5" ht="15" x14ac:dyDescent="0.25">
      <c r="B61" s="55"/>
      <c r="E61" s="56"/>
    </row>
    <row r="64" spans="2:5" ht="15.75" x14ac:dyDescent="0.3">
      <c r="B64" s="20" t="s">
        <v>76</v>
      </c>
    </row>
    <row r="65" spans="2:4" x14ac:dyDescent="0.2">
      <c r="B65" s="20" t="s">
        <v>68</v>
      </c>
    </row>
    <row r="67" spans="2:4" x14ac:dyDescent="0.2">
      <c r="B67" s="57" t="s">
        <v>69</v>
      </c>
    </row>
    <row r="72" spans="2:4" ht="15" x14ac:dyDescent="0.25">
      <c r="B72" s="55" t="s">
        <v>168</v>
      </c>
    </row>
    <row r="74" spans="2:4" x14ac:dyDescent="0.2">
      <c r="B74" s="57" t="s">
        <v>70</v>
      </c>
    </row>
    <row r="76" spans="2:4" ht="15" x14ac:dyDescent="0.25">
      <c r="B76" s="55"/>
      <c r="D76" s="55"/>
    </row>
    <row r="79" spans="2:4" ht="15.75" x14ac:dyDescent="0.3">
      <c r="B79" s="58" t="s">
        <v>82</v>
      </c>
    </row>
    <row r="80" spans="2:4" ht="15.75" x14ac:dyDescent="0.2">
      <c r="B80" s="59" t="s">
        <v>166</v>
      </c>
    </row>
    <row r="81" spans="2:2" x14ac:dyDescent="0.2">
      <c r="B81" s="59"/>
    </row>
    <row r="82" spans="2:2" ht="15.75" x14ac:dyDescent="0.3">
      <c r="B82" s="60" t="s">
        <v>66</v>
      </c>
    </row>
    <row r="83" spans="2:2" x14ac:dyDescent="0.2">
      <c r="B83" s="31"/>
    </row>
    <row r="84" spans="2:2" x14ac:dyDescent="0.2">
      <c r="B84" s="31"/>
    </row>
    <row r="85" spans="2:2" x14ac:dyDescent="0.2">
      <c r="B85" s="41" t="s">
        <v>74</v>
      </c>
    </row>
    <row r="86" spans="2:2" x14ac:dyDescent="0.2">
      <c r="B86" s="41"/>
    </row>
    <row r="87" spans="2:2" x14ac:dyDescent="0.2">
      <c r="B87" s="61" t="s">
        <v>67</v>
      </c>
    </row>
    <row r="88" spans="2:2" x14ac:dyDescent="0.2">
      <c r="B88" s="61" t="s">
        <v>75</v>
      </c>
    </row>
    <row r="89" spans="2:2" x14ac:dyDescent="0.2">
      <c r="B89" s="61"/>
    </row>
    <row r="90" spans="2:2" x14ac:dyDescent="0.2">
      <c r="B90" s="61" t="s">
        <v>191</v>
      </c>
    </row>
    <row r="91" spans="2:2" x14ac:dyDescent="0.2">
      <c r="B91" s="31"/>
    </row>
    <row r="92" spans="2:2" x14ac:dyDescent="0.2">
      <c r="B92" s="62"/>
    </row>
  </sheetData>
  <sheetProtection sheet="1" objects="1" scenarios="1"/>
  <mergeCells count="2">
    <mergeCell ref="C36:D36"/>
    <mergeCell ref="E36:F3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G8:G22 B32:C32 G23:G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Erläuterungen</vt:lpstr>
      <vt:lpstr>Rohe Rate</vt:lpstr>
      <vt:lpstr>Direkte Standardisierung</vt:lpstr>
      <vt:lpstr>Indirekte Standardisierung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Geiss, Karla</dc:creator>
  <cp:lastModifiedBy>Geiss, Karla</cp:lastModifiedBy>
  <dcterms:created xsi:type="dcterms:W3CDTF">2006-09-16T00:00:00Z</dcterms:created>
  <dcterms:modified xsi:type="dcterms:W3CDTF">2014-12-18T09:49:27Z</dcterms:modified>
</cp:coreProperties>
</file>